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5445B7C7-7214-4866-807B-72BC15B372CC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" sheetId="1" r:id="rId2"/>
    <sheet name="check" sheetId="4" r:id="rId3"/>
  </sheets>
  <externalReferences>
    <externalReference r:id="rId4"/>
  </externalReferences>
  <definedNames>
    <definedName name="_xlnm._FilterDatabase" localSheetId="1" hidden="1">'SPS2'!$A$1:$K$1753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10" i="1" l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C2109" i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B2109" i="1"/>
  <c r="K2335" i="1" a="1"/>
  <c r="K2335" i="1" s="1"/>
  <c r="J2335" i="1" a="1"/>
  <c r="J2335" i="1" s="1"/>
  <c r="I2335" i="1" a="1"/>
  <c r="I2335" i="1" s="1"/>
  <c r="H2335" i="1" a="1"/>
  <c r="H2335" i="1" s="1"/>
  <c r="G2335" i="1" a="1"/>
  <c r="G2335" i="1" s="1"/>
  <c r="F2335" i="1" a="1"/>
  <c r="F2335" i="1" s="1"/>
  <c r="K2334" i="1" a="1"/>
  <c r="K2334" i="1" s="1"/>
  <c r="J2334" i="1" a="1"/>
  <c r="J2334" i="1" s="1"/>
  <c r="I2334" i="1" a="1"/>
  <c r="I2334" i="1" s="1"/>
  <c r="H2334" i="1" a="1"/>
  <c r="H2334" i="1" s="1"/>
  <c r="G2334" i="1" a="1"/>
  <c r="G2334" i="1" s="1"/>
  <c r="F2334" i="1" a="1"/>
  <c r="F2334" i="1" s="1"/>
  <c r="K2333" i="1" a="1"/>
  <c r="K2333" i="1" s="1"/>
  <c r="J2333" i="1" a="1"/>
  <c r="J2333" i="1" s="1"/>
  <c r="I2333" i="1" a="1"/>
  <c r="I2333" i="1" s="1"/>
  <c r="H2333" i="1" a="1"/>
  <c r="H2333" i="1" s="1"/>
  <c r="G2333" i="1" a="1"/>
  <c r="G2333" i="1" s="1"/>
  <c r="F2333" i="1" a="1"/>
  <c r="F2333" i="1" s="1"/>
  <c r="K2332" i="1" a="1"/>
  <c r="K2332" i="1" s="1"/>
  <c r="J2332" i="1" a="1"/>
  <c r="J2332" i="1" s="1"/>
  <c r="I2332" i="1" a="1"/>
  <c r="I2332" i="1" s="1"/>
  <c r="H2332" i="1" a="1"/>
  <c r="H2332" i="1" s="1"/>
  <c r="G2332" i="1" a="1"/>
  <c r="G2332" i="1" s="1"/>
  <c r="F2332" i="1" a="1"/>
  <c r="F2332" i="1" s="1"/>
  <c r="K2331" i="1" a="1"/>
  <c r="K2331" i="1" s="1"/>
  <c r="J2331" i="1" a="1"/>
  <c r="J2331" i="1" s="1"/>
  <c r="I2331" i="1" a="1"/>
  <c r="I2331" i="1" s="1"/>
  <c r="H2331" i="1" a="1"/>
  <c r="H2331" i="1" s="1"/>
  <c r="G2331" i="1" a="1"/>
  <c r="G2331" i="1" s="1"/>
  <c r="F2331" i="1" a="1"/>
  <c r="F2331" i="1" s="1"/>
  <c r="K2330" i="1" a="1"/>
  <c r="K2330" i="1" s="1"/>
  <c r="J2330" i="1" a="1"/>
  <c r="J2330" i="1" s="1"/>
  <c r="I2330" i="1" a="1"/>
  <c r="I2330" i="1" s="1"/>
  <c r="H2330" i="1" a="1"/>
  <c r="H2330" i="1" s="1"/>
  <c r="G2330" i="1" a="1"/>
  <c r="G2330" i="1" s="1"/>
  <c r="F2330" i="1" a="1"/>
  <c r="F2330" i="1" s="1"/>
  <c r="K2329" i="1" a="1"/>
  <c r="K2329" i="1" s="1"/>
  <c r="J2329" i="1" a="1"/>
  <c r="J2329" i="1" s="1"/>
  <c r="I2329" i="1" a="1"/>
  <c r="I2329" i="1" s="1"/>
  <c r="H2329" i="1" a="1"/>
  <c r="H2329" i="1" s="1"/>
  <c r="G2329" i="1" a="1"/>
  <c r="G2329" i="1" s="1"/>
  <c r="F2329" i="1" a="1"/>
  <c r="F2329" i="1" s="1"/>
  <c r="K2328" i="1" a="1"/>
  <c r="K2328" i="1" s="1"/>
  <c r="J2328" i="1" a="1"/>
  <c r="J2328" i="1" s="1"/>
  <c r="I2328" i="1" a="1"/>
  <c r="I2328" i="1" s="1"/>
  <c r="H2328" i="1" a="1"/>
  <c r="H2328" i="1" s="1"/>
  <c r="G2328" i="1" a="1"/>
  <c r="G2328" i="1" s="1"/>
  <c r="F2328" i="1" a="1"/>
  <c r="F2328" i="1" s="1"/>
  <c r="K2327" i="1" a="1"/>
  <c r="K2327" i="1" s="1"/>
  <c r="J2327" i="1" a="1"/>
  <c r="J2327" i="1" s="1"/>
  <c r="I2327" i="1" a="1"/>
  <c r="I2327" i="1" s="1"/>
  <c r="H2327" i="1" a="1"/>
  <c r="H2327" i="1" s="1"/>
  <c r="G2327" i="1" a="1"/>
  <c r="G2327" i="1" s="1"/>
  <c r="F2327" i="1" a="1"/>
  <c r="F2327" i="1" s="1"/>
  <c r="K2326" i="1" a="1"/>
  <c r="K2326" i="1" s="1"/>
  <c r="J2326" i="1" a="1"/>
  <c r="J2326" i="1" s="1"/>
  <c r="I2326" i="1" a="1"/>
  <c r="I2326" i="1" s="1"/>
  <c r="H2326" i="1" a="1"/>
  <c r="H2326" i="1" s="1"/>
  <c r="G2326" i="1" a="1"/>
  <c r="G2326" i="1" s="1"/>
  <c r="F2326" i="1" a="1"/>
  <c r="F2326" i="1" s="1"/>
  <c r="K2325" i="1" a="1"/>
  <c r="K2325" i="1" s="1"/>
  <c r="J2325" i="1" a="1"/>
  <c r="J2325" i="1" s="1"/>
  <c r="I2325" i="1" a="1"/>
  <c r="I2325" i="1" s="1"/>
  <c r="H2325" i="1" a="1"/>
  <c r="H2325" i="1" s="1"/>
  <c r="G2325" i="1" a="1"/>
  <c r="G2325" i="1" s="1"/>
  <c r="F2325" i="1" a="1"/>
  <c r="F2325" i="1" s="1"/>
  <c r="K2324" i="1" a="1"/>
  <c r="K2324" i="1" s="1"/>
  <c r="J2324" i="1" a="1"/>
  <c r="J2324" i="1" s="1"/>
  <c r="I2324" i="1" a="1"/>
  <c r="I2324" i="1" s="1"/>
  <c r="H2324" i="1" a="1"/>
  <c r="H2324" i="1" s="1"/>
  <c r="G2324" i="1" a="1"/>
  <c r="G2324" i="1" s="1"/>
  <c r="F2324" i="1" a="1"/>
  <c r="F2324" i="1" s="1"/>
  <c r="K2323" i="1" a="1"/>
  <c r="K2323" i="1" s="1"/>
  <c r="J2323" i="1" a="1"/>
  <c r="J2323" i="1" s="1"/>
  <c r="I2323" i="1" a="1"/>
  <c r="I2323" i="1" s="1"/>
  <c r="H2323" i="1" a="1"/>
  <c r="H2323" i="1" s="1"/>
  <c r="G2323" i="1" a="1"/>
  <c r="G2323" i="1" s="1"/>
  <c r="F2323" i="1" a="1"/>
  <c r="F2323" i="1" s="1"/>
  <c r="K2322" i="1" a="1"/>
  <c r="K2322" i="1" s="1"/>
  <c r="J2322" i="1" a="1"/>
  <c r="J2322" i="1" s="1"/>
  <c r="I2322" i="1" a="1"/>
  <c r="I2322" i="1" s="1"/>
  <c r="H2322" i="1" a="1"/>
  <c r="H2322" i="1" s="1"/>
  <c r="G2322" i="1" a="1"/>
  <c r="G2322" i="1" s="1"/>
  <c r="F2322" i="1" a="1"/>
  <c r="F2322" i="1" s="1"/>
  <c r="K2321" i="1" a="1"/>
  <c r="K2321" i="1" s="1"/>
  <c r="J2321" i="1" a="1"/>
  <c r="J2321" i="1" s="1"/>
  <c r="I2321" i="1" a="1"/>
  <c r="I2321" i="1" s="1"/>
  <c r="H2321" i="1" a="1"/>
  <c r="H2321" i="1" s="1"/>
  <c r="G2321" i="1" a="1"/>
  <c r="G2321" i="1" s="1"/>
  <c r="F2321" i="1" a="1"/>
  <c r="F2321" i="1" s="1"/>
  <c r="K2320" i="1" a="1"/>
  <c r="K2320" i="1" s="1"/>
  <c r="J2320" i="1" a="1"/>
  <c r="J2320" i="1" s="1"/>
  <c r="I2320" i="1" a="1"/>
  <c r="I2320" i="1" s="1"/>
  <c r="H2320" i="1" a="1"/>
  <c r="H2320" i="1" s="1"/>
  <c r="G2320" i="1" a="1"/>
  <c r="G2320" i="1" s="1"/>
  <c r="F2320" i="1" a="1"/>
  <c r="F2320" i="1" s="1"/>
  <c r="K2318" i="1" a="1"/>
  <c r="K2318" i="1" s="1"/>
  <c r="K2317" i="1" s="1" a="1"/>
  <c r="K2317" i="1" s="1"/>
  <c r="K2316" i="1" s="1"/>
  <c r="J2318" i="1" a="1"/>
  <c r="J2318" i="1" s="1"/>
  <c r="J2317" i="1" s="1" a="1"/>
  <c r="J2317" i="1" s="1"/>
  <c r="J2316" i="1" s="1"/>
  <c r="I2318" i="1" a="1"/>
  <c r="I2318" i="1" s="1"/>
  <c r="I2317" i="1" s="1" a="1"/>
  <c r="I2317" i="1" s="1"/>
  <c r="I2316" i="1" s="1"/>
  <c r="H2318" i="1" a="1"/>
  <c r="H2318" i="1" s="1"/>
  <c r="H2317" i="1" s="1" a="1"/>
  <c r="H2317" i="1" s="1"/>
  <c r="H2316" i="1" s="1"/>
  <c r="G2318" i="1" a="1"/>
  <c r="G2318" i="1" s="1"/>
  <c r="G2317" i="1" s="1" a="1"/>
  <c r="G2317" i="1" s="1"/>
  <c r="G2316" i="1" s="1"/>
  <c r="F2318" i="1" a="1"/>
  <c r="F2318" i="1" s="1"/>
  <c r="F2317" i="1" s="1" a="1"/>
  <c r="F2317" i="1" s="1"/>
  <c r="F2316" i="1" s="1"/>
  <c r="K2315" i="1" a="1"/>
  <c r="K2315" i="1" s="1"/>
  <c r="K2314" i="1" s="1" a="1"/>
  <c r="K2314" i="1" s="1"/>
  <c r="K2313" i="1" s="1"/>
  <c r="J2315" i="1" a="1"/>
  <c r="J2315" i="1" s="1"/>
  <c r="J2314" i="1" s="1" a="1"/>
  <c r="J2314" i="1" s="1"/>
  <c r="J2313" i="1" s="1"/>
  <c r="I2315" i="1" a="1"/>
  <c r="I2315" i="1" s="1"/>
  <c r="I2314" i="1" s="1" a="1"/>
  <c r="I2314" i="1" s="1"/>
  <c r="I2313" i="1" s="1"/>
  <c r="H2315" i="1" a="1"/>
  <c r="H2315" i="1" s="1"/>
  <c r="H2314" i="1" s="1" a="1"/>
  <c r="H2314" i="1" s="1"/>
  <c r="H2313" i="1" s="1"/>
  <c r="G2315" i="1" a="1"/>
  <c r="G2315" i="1" s="1"/>
  <c r="G2314" i="1" s="1" a="1"/>
  <c r="G2314" i="1" s="1"/>
  <c r="G2313" i="1" s="1"/>
  <c r="F2315" i="1" a="1"/>
  <c r="F2315" i="1" s="1"/>
  <c r="F2314" i="1" s="1" a="1"/>
  <c r="F2314" i="1" s="1"/>
  <c r="F2313" i="1" s="1"/>
  <c r="K2312" i="1" a="1"/>
  <c r="K2312" i="1" s="1"/>
  <c r="J2312" i="1" a="1"/>
  <c r="J2312" i="1" s="1"/>
  <c r="I2312" i="1" a="1"/>
  <c r="I2312" i="1" s="1"/>
  <c r="H2312" i="1" a="1"/>
  <c r="H2312" i="1" s="1"/>
  <c r="G2312" i="1" a="1"/>
  <c r="G2312" i="1" s="1"/>
  <c r="F2312" i="1" a="1"/>
  <c r="F2312" i="1" s="1"/>
  <c r="K2311" i="1" a="1"/>
  <c r="K2311" i="1" s="1"/>
  <c r="J2311" i="1" a="1"/>
  <c r="J2311" i="1" s="1"/>
  <c r="I2311" i="1" a="1"/>
  <c r="I2311" i="1" s="1"/>
  <c r="H2311" i="1" a="1"/>
  <c r="H2311" i="1" s="1"/>
  <c r="G2311" i="1" a="1"/>
  <c r="G2311" i="1" s="1"/>
  <c r="F2311" i="1" a="1"/>
  <c r="F2311" i="1" s="1"/>
  <c r="K2309" i="1" a="1"/>
  <c r="K2309" i="1" s="1"/>
  <c r="J2309" i="1" a="1"/>
  <c r="J2309" i="1" s="1"/>
  <c r="I2309" i="1" a="1"/>
  <c r="I2309" i="1" s="1"/>
  <c r="H2309" i="1" a="1"/>
  <c r="H2309" i="1" s="1"/>
  <c r="G2309" i="1" a="1"/>
  <c r="G2309" i="1" s="1"/>
  <c r="F2309" i="1" a="1"/>
  <c r="F2309" i="1" s="1"/>
  <c r="K2307" i="1" a="1"/>
  <c r="K2307" i="1" s="1"/>
  <c r="K2306" i="1" s="1"/>
  <c r="J2307" i="1" a="1"/>
  <c r="J2307" i="1" s="1"/>
  <c r="J2306" i="1" s="1"/>
  <c r="I2307" i="1" a="1"/>
  <c r="I2307" i="1" s="1"/>
  <c r="I2306" i="1" s="1"/>
  <c r="H2307" i="1" a="1"/>
  <c r="H2307" i="1" s="1"/>
  <c r="H2306" i="1" s="1"/>
  <c r="G2307" i="1" a="1"/>
  <c r="G2307" i="1" s="1"/>
  <c r="G2306" i="1" s="1"/>
  <c r="F2307" i="1" a="1"/>
  <c r="F2307" i="1" s="1"/>
  <c r="F2306" i="1" s="1"/>
  <c r="K2305" i="1" a="1"/>
  <c r="K2305" i="1" s="1"/>
  <c r="K2304" i="1" s="1"/>
  <c r="J2305" i="1" a="1"/>
  <c r="J2305" i="1" s="1"/>
  <c r="J2304" i="1" s="1"/>
  <c r="I2305" i="1" a="1"/>
  <c r="I2305" i="1" s="1"/>
  <c r="I2304" i="1" s="1"/>
  <c r="H2305" i="1" a="1"/>
  <c r="H2305" i="1" s="1"/>
  <c r="H2304" i="1" s="1"/>
  <c r="G2305" i="1" a="1"/>
  <c r="G2305" i="1" s="1"/>
  <c r="G2304" i="1" s="1"/>
  <c r="F2305" i="1" a="1"/>
  <c r="F2305" i="1" s="1"/>
  <c r="F2304" i="1" s="1"/>
  <c r="K2303" i="1" a="1"/>
  <c r="K2303" i="1" s="1"/>
  <c r="K2302" i="1" s="1"/>
  <c r="J2303" i="1" a="1"/>
  <c r="J2303" i="1" s="1"/>
  <c r="J2302" i="1" s="1"/>
  <c r="I2303" i="1" a="1"/>
  <c r="I2303" i="1" s="1"/>
  <c r="I2302" i="1" s="1"/>
  <c r="H2303" i="1" a="1"/>
  <c r="H2303" i="1" s="1"/>
  <c r="H2302" i="1" s="1"/>
  <c r="G2303" i="1" a="1"/>
  <c r="G2303" i="1" s="1"/>
  <c r="G2302" i="1" s="1"/>
  <c r="F2303" i="1" a="1"/>
  <c r="F2303" i="1" s="1"/>
  <c r="F2302" i="1" s="1"/>
  <c r="K2301" i="1" a="1"/>
  <c r="K2301" i="1" s="1"/>
  <c r="K2300" i="1" s="1"/>
  <c r="J2301" i="1" a="1"/>
  <c r="J2301" i="1" s="1"/>
  <c r="J2300" i="1" s="1"/>
  <c r="I2301" i="1" a="1"/>
  <c r="I2301" i="1" s="1"/>
  <c r="I2300" i="1" s="1"/>
  <c r="H2301" i="1" a="1"/>
  <c r="H2301" i="1" s="1"/>
  <c r="H2300" i="1" s="1"/>
  <c r="G2301" i="1" a="1"/>
  <c r="G2301" i="1" s="1"/>
  <c r="G2300" i="1" s="1"/>
  <c r="F2301" i="1" a="1"/>
  <c r="F2301" i="1" s="1"/>
  <c r="F2300" i="1" s="1"/>
  <c r="K2299" i="1" a="1"/>
  <c r="K2299" i="1" s="1"/>
  <c r="J2299" i="1" a="1"/>
  <c r="J2299" i="1" s="1"/>
  <c r="I2299" i="1" a="1"/>
  <c r="I2299" i="1" s="1"/>
  <c r="H2299" i="1" a="1"/>
  <c r="H2299" i="1" s="1"/>
  <c r="G2299" i="1" a="1"/>
  <c r="G2299" i="1" s="1"/>
  <c r="F2299" i="1" a="1"/>
  <c r="F2299" i="1" s="1"/>
  <c r="K2298" i="1" a="1"/>
  <c r="K2298" i="1" s="1"/>
  <c r="J2298" i="1" a="1"/>
  <c r="J2298" i="1" s="1"/>
  <c r="I2298" i="1" a="1"/>
  <c r="I2298" i="1" s="1"/>
  <c r="H2298" i="1" a="1"/>
  <c r="H2298" i="1" s="1"/>
  <c r="G2298" i="1" a="1"/>
  <c r="G2298" i="1" s="1"/>
  <c r="F2298" i="1" a="1"/>
  <c r="F2298" i="1" s="1"/>
  <c r="K2297" i="1" a="1"/>
  <c r="K2297" i="1" s="1"/>
  <c r="K2296" i="1" s="1"/>
  <c r="J2297" i="1" a="1"/>
  <c r="J2297" i="1" s="1"/>
  <c r="J2296" i="1" s="1"/>
  <c r="I2297" i="1" a="1"/>
  <c r="I2297" i="1" s="1"/>
  <c r="H2297" i="1" a="1"/>
  <c r="H2297" i="1" s="1"/>
  <c r="H2296" i="1" s="1"/>
  <c r="G2297" i="1" a="1"/>
  <c r="G2297" i="1" s="1"/>
  <c r="G2296" i="1" s="1"/>
  <c r="F2297" i="1" a="1"/>
  <c r="F2297" i="1" s="1"/>
  <c r="F2296" i="1" s="1"/>
  <c r="K2295" i="1" a="1"/>
  <c r="K2295" i="1" s="1"/>
  <c r="K2294" i="1" s="1"/>
  <c r="J2295" i="1" a="1"/>
  <c r="J2295" i="1" s="1"/>
  <c r="J2294" i="1" s="1"/>
  <c r="I2295" i="1" a="1"/>
  <c r="I2295" i="1" s="1"/>
  <c r="I2294" i="1" s="1"/>
  <c r="H2295" i="1" a="1"/>
  <c r="H2295" i="1" s="1"/>
  <c r="H2294" i="1" s="1"/>
  <c r="G2295" i="1" a="1"/>
  <c r="G2295" i="1" s="1"/>
  <c r="G2294" i="1" s="1"/>
  <c r="F2295" i="1" a="1"/>
  <c r="F2295" i="1" s="1"/>
  <c r="F2294" i="1" s="1"/>
  <c r="K2293" i="1" a="1"/>
  <c r="K2293" i="1" s="1"/>
  <c r="J2293" i="1" a="1"/>
  <c r="J2293" i="1" s="1"/>
  <c r="I2293" i="1" a="1"/>
  <c r="I2293" i="1" s="1"/>
  <c r="H2293" i="1" a="1"/>
  <c r="H2293" i="1" s="1"/>
  <c r="G2293" i="1" a="1"/>
  <c r="G2293" i="1" s="1"/>
  <c r="F2293" i="1" a="1"/>
  <c r="F2293" i="1" s="1"/>
  <c r="K2292" i="1" a="1"/>
  <c r="K2292" i="1" s="1"/>
  <c r="K2291" i="1" s="1"/>
  <c r="K2290" i="1" s="1"/>
  <c r="J2292" i="1" a="1"/>
  <c r="J2292" i="1" s="1"/>
  <c r="J2291" i="1" s="1"/>
  <c r="J2290" i="1" s="1"/>
  <c r="I2292" i="1" a="1"/>
  <c r="I2292" i="1" s="1"/>
  <c r="I2291" i="1" s="1"/>
  <c r="H2292" i="1" a="1"/>
  <c r="H2292" i="1" s="1"/>
  <c r="H2291" i="1" s="1"/>
  <c r="H2290" i="1" s="1"/>
  <c r="G2292" i="1" a="1"/>
  <c r="G2292" i="1" s="1"/>
  <c r="G2291" i="1" s="1"/>
  <c r="G2290" i="1" s="1"/>
  <c r="F2292" i="1" a="1"/>
  <c r="F2292" i="1" s="1"/>
  <c r="F2291" i="1" s="1"/>
  <c r="F2290" i="1" s="1"/>
  <c r="K2289" i="1" a="1"/>
  <c r="K2289" i="1" s="1"/>
  <c r="K2288" i="1" s="1"/>
  <c r="J2289" i="1" a="1"/>
  <c r="J2289" i="1" s="1"/>
  <c r="J2288" i="1" s="1"/>
  <c r="I2289" i="1" a="1"/>
  <c r="I2289" i="1" s="1"/>
  <c r="I2288" i="1" s="1"/>
  <c r="H2289" i="1" a="1"/>
  <c r="H2289" i="1" s="1"/>
  <c r="H2288" i="1" s="1"/>
  <c r="G2289" i="1" a="1"/>
  <c r="G2289" i="1" s="1"/>
  <c r="G2288" i="1" s="1"/>
  <c r="F2289" i="1" a="1"/>
  <c r="F2289" i="1" s="1"/>
  <c r="F2288" i="1" s="1"/>
  <c r="K2287" i="1" a="1"/>
  <c r="K2287" i="1" s="1"/>
  <c r="K2286" i="1" s="1"/>
  <c r="J2287" i="1" a="1"/>
  <c r="J2287" i="1" s="1"/>
  <c r="J2286" i="1" s="1"/>
  <c r="I2287" i="1" a="1"/>
  <c r="I2287" i="1" s="1"/>
  <c r="I2286" i="1" s="1"/>
  <c r="H2287" i="1" a="1"/>
  <c r="H2287" i="1" s="1"/>
  <c r="H2286" i="1" s="1"/>
  <c r="G2287" i="1" a="1"/>
  <c r="G2287" i="1" s="1"/>
  <c r="G2286" i="1" s="1"/>
  <c r="F2287" i="1" a="1"/>
  <c r="F2287" i="1" s="1"/>
  <c r="F2286" i="1" s="1"/>
  <c r="K2285" i="1" a="1"/>
  <c r="K2285" i="1" s="1"/>
  <c r="K2284" i="1" s="1"/>
  <c r="J2285" i="1" a="1"/>
  <c r="J2285" i="1" s="1"/>
  <c r="J2284" i="1" s="1"/>
  <c r="I2285" i="1" a="1"/>
  <c r="I2285" i="1" s="1"/>
  <c r="I2284" i="1" s="1"/>
  <c r="H2285" i="1" a="1"/>
  <c r="H2285" i="1" s="1"/>
  <c r="H2284" i="1" s="1"/>
  <c r="G2285" i="1" a="1"/>
  <c r="G2285" i="1" s="1"/>
  <c r="G2284" i="1" s="1"/>
  <c r="F2285" i="1" a="1"/>
  <c r="F2285" i="1" s="1"/>
  <c r="F2284" i="1" s="1"/>
  <c r="K2283" i="1" a="1"/>
  <c r="K2283" i="1" s="1"/>
  <c r="K2282" i="1" s="1"/>
  <c r="J2283" i="1" a="1"/>
  <c r="J2283" i="1" s="1"/>
  <c r="J2282" i="1" s="1"/>
  <c r="I2283" i="1" a="1"/>
  <c r="I2283" i="1" s="1"/>
  <c r="I2282" i="1" s="1"/>
  <c r="H2283" i="1" a="1"/>
  <c r="H2283" i="1" s="1"/>
  <c r="H2282" i="1" s="1"/>
  <c r="G2283" i="1" a="1"/>
  <c r="G2283" i="1" s="1"/>
  <c r="G2282" i="1" s="1"/>
  <c r="F2283" i="1" a="1"/>
  <c r="F2283" i="1" s="1"/>
  <c r="F2282" i="1" s="1"/>
  <c r="K2281" i="1" a="1"/>
  <c r="K2281" i="1" s="1"/>
  <c r="K2280" i="1" s="1"/>
  <c r="J2281" i="1" a="1"/>
  <c r="J2281" i="1" s="1"/>
  <c r="J2280" i="1" s="1"/>
  <c r="I2281" i="1" a="1"/>
  <c r="I2281" i="1" s="1"/>
  <c r="I2280" i="1" s="1"/>
  <c r="H2281" i="1" a="1"/>
  <c r="H2281" i="1" s="1"/>
  <c r="H2280" i="1" s="1"/>
  <c r="G2281" i="1" a="1"/>
  <c r="G2281" i="1" s="1"/>
  <c r="G2280" i="1" s="1"/>
  <c r="F2281" i="1" a="1"/>
  <c r="F2281" i="1" s="1"/>
  <c r="F2280" i="1" s="1"/>
  <c r="K2279" i="1" a="1"/>
  <c r="K2279" i="1" s="1"/>
  <c r="K2278" i="1" s="1"/>
  <c r="J2279" i="1" a="1"/>
  <c r="J2279" i="1" s="1"/>
  <c r="J2278" i="1" s="1"/>
  <c r="I2279" i="1" a="1"/>
  <c r="I2279" i="1" s="1"/>
  <c r="I2278" i="1" s="1"/>
  <c r="H2279" i="1" a="1"/>
  <c r="H2279" i="1" s="1"/>
  <c r="H2278" i="1" s="1"/>
  <c r="G2279" i="1" a="1"/>
  <c r="G2279" i="1" s="1"/>
  <c r="G2278" i="1" s="1"/>
  <c r="F2279" i="1" a="1"/>
  <c r="F2279" i="1" s="1"/>
  <c r="F2278" i="1" s="1"/>
  <c r="K2277" i="1" a="1"/>
  <c r="K2277" i="1" s="1"/>
  <c r="J2277" i="1" a="1"/>
  <c r="J2277" i="1" s="1"/>
  <c r="I2277" i="1" a="1"/>
  <c r="I2277" i="1" s="1"/>
  <c r="H2277" i="1" a="1"/>
  <c r="H2277" i="1" s="1"/>
  <c r="G2277" i="1" a="1"/>
  <c r="G2277" i="1" s="1"/>
  <c r="F2277" i="1" a="1"/>
  <c r="F2277" i="1" s="1"/>
  <c r="K2276" i="1" a="1"/>
  <c r="K2276" i="1" s="1"/>
  <c r="J2276" i="1" a="1"/>
  <c r="J2276" i="1" s="1"/>
  <c r="I2276" i="1" a="1"/>
  <c r="I2276" i="1" s="1"/>
  <c r="H2276" i="1" a="1"/>
  <c r="H2276" i="1" s="1"/>
  <c r="G2276" i="1" a="1"/>
  <c r="G2276" i="1" s="1"/>
  <c r="F2276" i="1" a="1"/>
  <c r="F2276" i="1" s="1"/>
  <c r="K2275" i="1" a="1"/>
  <c r="K2275" i="1" s="1"/>
  <c r="K2274" i="1" s="1"/>
  <c r="J2275" i="1" a="1"/>
  <c r="J2275" i="1" s="1"/>
  <c r="J2274" i="1" s="1"/>
  <c r="I2275" i="1" a="1"/>
  <c r="I2275" i="1" s="1"/>
  <c r="I2274" i="1" s="1"/>
  <c r="H2275" i="1" a="1"/>
  <c r="H2275" i="1" s="1"/>
  <c r="H2274" i="1" s="1"/>
  <c r="G2275" i="1" a="1"/>
  <c r="G2275" i="1" s="1"/>
  <c r="G2274" i="1" s="1"/>
  <c r="F2275" i="1" a="1"/>
  <c r="F2275" i="1" s="1"/>
  <c r="F2274" i="1" s="1"/>
  <c r="K2273" i="1" a="1"/>
  <c r="K2273" i="1" s="1"/>
  <c r="J2273" i="1" a="1"/>
  <c r="J2273" i="1" s="1"/>
  <c r="I2273" i="1" a="1"/>
  <c r="I2273" i="1" s="1"/>
  <c r="H2273" i="1" a="1"/>
  <c r="H2273" i="1" s="1"/>
  <c r="G2273" i="1" a="1"/>
  <c r="G2273" i="1" s="1"/>
  <c r="F2273" i="1" a="1"/>
  <c r="F2273" i="1" s="1"/>
  <c r="K2272" i="1" a="1"/>
  <c r="K2272" i="1" s="1"/>
  <c r="K2271" i="1" s="1"/>
  <c r="J2272" i="1" a="1"/>
  <c r="J2272" i="1" s="1"/>
  <c r="J2271" i="1" s="1"/>
  <c r="I2272" i="1" a="1"/>
  <c r="I2272" i="1" s="1"/>
  <c r="I2271" i="1" s="1"/>
  <c r="H2272" i="1" a="1"/>
  <c r="H2272" i="1" s="1"/>
  <c r="H2271" i="1" s="1"/>
  <c r="G2272" i="1" a="1"/>
  <c r="G2272" i="1" s="1"/>
  <c r="G2271" i="1" s="1"/>
  <c r="F2272" i="1" a="1"/>
  <c r="F2272" i="1" s="1"/>
  <c r="F2271" i="1" s="1"/>
  <c r="K2270" i="1" a="1"/>
  <c r="K2270" i="1" s="1"/>
  <c r="J2270" i="1" a="1"/>
  <c r="J2270" i="1" s="1"/>
  <c r="I2270" i="1" a="1"/>
  <c r="I2270" i="1" s="1"/>
  <c r="H2270" i="1" a="1"/>
  <c r="H2270" i="1" s="1"/>
  <c r="G2270" i="1" a="1"/>
  <c r="G2270" i="1" s="1"/>
  <c r="F2270" i="1" a="1"/>
  <c r="F2270" i="1" s="1"/>
  <c r="K2269" i="1" a="1"/>
  <c r="K2269" i="1" s="1"/>
  <c r="K2268" i="1" s="1"/>
  <c r="K2267" i="1" s="1"/>
  <c r="J2269" i="1" a="1"/>
  <c r="J2269" i="1" s="1"/>
  <c r="J2268" i="1" s="1"/>
  <c r="J2267" i="1" s="1"/>
  <c r="I2269" i="1" a="1"/>
  <c r="I2269" i="1" s="1"/>
  <c r="I2268" i="1" s="1"/>
  <c r="I2267" i="1" s="1"/>
  <c r="H2269" i="1" a="1"/>
  <c r="H2269" i="1" s="1"/>
  <c r="H2268" i="1" s="1"/>
  <c r="H2267" i="1" s="1"/>
  <c r="G2269" i="1" a="1"/>
  <c r="G2269" i="1" s="1"/>
  <c r="G2268" i="1" s="1"/>
  <c r="G2267" i="1" s="1"/>
  <c r="F2269" i="1" a="1"/>
  <c r="F2269" i="1" s="1"/>
  <c r="F2268" i="1" s="1"/>
  <c r="F2267" i="1" s="1"/>
  <c r="K2266" i="1" a="1"/>
  <c r="K2266" i="1" s="1"/>
  <c r="K2265" i="1" s="1"/>
  <c r="J2266" i="1" a="1"/>
  <c r="J2266" i="1" s="1"/>
  <c r="J2265" i="1" s="1"/>
  <c r="I2266" i="1" a="1"/>
  <c r="I2266" i="1" s="1"/>
  <c r="I2265" i="1" s="1"/>
  <c r="H2266" i="1" a="1"/>
  <c r="H2266" i="1" s="1"/>
  <c r="H2265" i="1" s="1"/>
  <c r="G2266" i="1" a="1"/>
  <c r="G2266" i="1" s="1"/>
  <c r="G2265" i="1" s="1"/>
  <c r="F2266" i="1" a="1"/>
  <c r="F2266" i="1" s="1"/>
  <c r="F2265" i="1" s="1"/>
  <c r="K2264" i="1" a="1"/>
  <c r="K2264" i="1" s="1"/>
  <c r="K2263" i="1" s="1"/>
  <c r="J2264" i="1" a="1"/>
  <c r="J2264" i="1" s="1"/>
  <c r="J2263" i="1" s="1"/>
  <c r="I2264" i="1" a="1"/>
  <c r="I2264" i="1" s="1"/>
  <c r="I2263" i="1" s="1"/>
  <c r="H2264" i="1" a="1"/>
  <c r="H2264" i="1" s="1"/>
  <c r="H2263" i="1" s="1"/>
  <c r="G2264" i="1" a="1"/>
  <c r="G2264" i="1" s="1"/>
  <c r="G2263" i="1" s="1"/>
  <c r="F2264" i="1" a="1"/>
  <c r="F2264" i="1" s="1"/>
  <c r="F2263" i="1" s="1"/>
  <c r="K2262" i="1" a="1"/>
  <c r="K2262" i="1" s="1"/>
  <c r="K2261" i="1" s="1"/>
  <c r="J2262" i="1" a="1"/>
  <c r="J2262" i="1" s="1"/>
  <c r="J2261" i="1" s="1"/>
  <c r="I2262" i="1" a="1"/>
  <c r="I2262" i="1" s="1"/>
  <c r="I2261" i="1" s="1"/>
  <c r="H2262" i="1" a="1"/>
  <c r="H2262" i="1" s="1"/>
  <c r="H2261" i="1" s="1"/>
  <c r="G2262" i="1" a="1"/>
  <c r="G2262" i="1" s="1"/>
  <c r="G2261" i="1" s="1"/>
  <c r="F2262" i="1" a="1"/>
  <c r="F2262" i="1" s="1"/>
  <c r="F2261" i="1" s="1"/>
  <c r="K2260" i="1" a="1"/>
  <c r="K2260" i="1" s="1"/>
  <c r="K2259" i="1" s="1"/>
  <c r="J2260" i="1" a="1"/>
  <c r="J2260" i="1" s="1"/>
  <c r="J2259" i="1" s="1"/>
  <c r="I2260" i="1" a="1"/>
  <c r="I2260" i="1" s="1"/>
  <c r="I2259" i="1" s="1"/>
  <c r="H2260" i="1" a="1"/>
  <c r="H2260" i="1" s="1"/>
  <c r="H2259" i="1" s="1"/>
  <c r="G2260" i="1" a="1"/>
  <c r="G2260" i="1" s="1"/>
  <c r="G2259" i="1" s="1"/>
  <c r="F2260" i="1" a="1"/>
  <c r="F2260" i="1" s="1"/>
  <c r="F2259" i="1" s="1"/>
  <c r="K2258" i="1" a="1"/>
  <c r="K2258" i="1" s="1"/>
  <c r="K2257" i="1" s="1"/>
  <c r="J2258" i="1" a="1"/>
  <c r="J2258" i="1" s="1"/>
  <c r="J2257" i="1" s="1"/>
  <c r="I2258" i="1" a="1"/>
  <c r="I2258" i="1" s="1"/>
  <c r="I2257" i="1" s="1"/>
  <c r="H2258" i="1" a="1"/>
  <c r="H2258" i="1" s="1"/>
  <c r="H2257" i="1" s="1"/>
  <c r="G2258" i="1" a="1"/>
  <c r="G2258" i="1" s="1"/>
  <c r="G2257" i="1" s="1"/>
  <c r="F2258" i="1" a="1"/>
  <c r="F2258" i="1" s="1"/>
  <c r="F2257" i="1" s="1"/>
  <c r="K2256" i="1" a="1"/>
  <c r="K2256" i="1" s="1"/>
  <c r="J2256" i="1" a="1"/>
  <c r="J2256" i="1" s="1"/>
  <c r="I2256" i="1" a="1"/>
  <c r="I2256" i="1" s="1"/>
  <c r="H2256" i="1" a="1"/>
  <c r="H2256" i="1" s="1"/>
  <c r="G2256" i="1" a="1"/>
  <c r="G2256" i="1" s="1"/>
  <c r="F2256" i="1" a="1"/>
  <c r="F2256" i="1" s="1"/>
  <c r="K2255" i="1" a="1"/>
  <c r="K2255" i="1" s="1"/>
  <c r="K2254" i="1" s="1"/>
  <c r="J2255" i="1" a="1"/>
  <c r="J2255" i="1" s="1"/>
  <c r="J2254" i="1" s="1"/>
  <c r="I2255" i="1" a="1"/>
  <c r="I2255" i="1" s="1"/>
  <c r="I2254" i="1" s="1"/>
  <c r="H2255" i="1" a="1"/>
  <c r="H2255" i="1" s="1"/>
  <c r="H2254" i="1" s="1"/>
  <c r="G2255" i="1" a="1"/>
  <c r="G2255" i="1" s="1"/>
  <c r="G2254" i="1" s="1"/>
  <c r="F2255" i="1" a="1"/>
  <c r="F2255" i="1" s="1"/>
  <c r="F2254" i="1" s="1"/>
  <c r="K2253" i="1" a="1"/>
  <c r="K2253" i="1" s="1"/>
  <c r="K2252" i="1" s="1"/>
  <c r="J2253" i="1" a="1"/>
  <c r="J2253" i="1" s="1"/>
  <c r="J2252" i="1" s="1"/>
  <c r="I2253" i="1" a="1"/>
  <c r="I2253" i="1" s="1"/>
  <c r="I2252" i="1" s="1"/>
  <c r="H2253" i="1" a="1"/>
  <c r="H2253" i="1" s="1"/>
  <c r="H2252" i="1" s="1"/>
  <c r="G2253" i="1" a="1"/>
  <c r="G2253" i="1" s="1"/>
  <c r="G2252" i="1" s="1"/>
  <c r="F2253" i="1" a="1"/>
  <c r="F2253" i="1" s="1"/>
  <c r="F2252" i="1" s="1"/>
  <c r="K2251" i="1" a="1"/>
  <c r="K2251" i="1" s="1"/>
  <c r="J2251" i="1" a="1"/>
  <c r="J2251" i="1" s="1"/>
  <c r="I2251" i="1" a="1"/>
  <c r="I2251" i="1" s="1"/>
  <c r="H2251" i="1" a="1"/>
  <c r="H2251" i="1" s="1"/>
  <c r="G2251" i="1" a="1"/>
  <c r="G2251" i="1" s="1"/>
  <c r="F2251" i="1" a="1"/>
  <c r="F2251" i="1" s="1"/>
  <c r="K2250" i="1" a="1"/>
  <c r="K2250" i="1" s="1"/>
  <c r="K2249" i="1" s="1"/>
  <c r="K2248" i="1" s="1"/>
  <c r="J2250" i="1" a="1"/>
  <c r="J2250" i="1" s="1"/>
  <c r="J2249" i="1" s="1"/>
  <c r="J2248" i="1" s="1"/>
  <c r="I2250" i="1" a="1"/>
  <c r="I2250" i="1" s="1"/>
  <c r="I2249" i="1" s="1"/>
  <c r="I2248" i="1" s="1"/>
  <c r="H2250" i="1" a="1"/>
  <c r="H2250" i="1" s="1"/>
  <c r="H2249" i="1" s="1"/>
  <c r="H2248" i="1" s="1"/>
  <c r="G2250" i="1" a="1"/>
  <c r="G2250" i="1" s="1"/>
  <c r="G2249" i="1" s="1"/>
  <c r="G2248" i="1" s="1"/>
  <c r="F2250" i="1" a="1"/>
  <c r="F2250" i="1" s="1"/>
  <c r="F2249" i="1" s="1"/>
  <c r="F2248" i="1" s="1"/>
  <c r="K2247" i="1" a="1"/>
  <c r="K2247" i="1" s="1"/>
  <c r="K2246" i="1" s="1"/>
  <c r="J2247" i="1" a="1"/>
  <c r="J2247" i="1" s="1"/>
  <c r="J2246" i="1" s="1"/>
  <c r="I2247" i="1" a="1"/>
  <c r="I2247" i="1" s="1"/>
  <c r="I2246" i="1" s="1"/>
  <c r="H2247" i="1" a="1"/>
  <c r="H2247" i="1" s="1"/>
  <c r="H2246" i="1" s="1"/>
  <c r="G2247" i="1" a="1"/>
  <c r="G2247" i="1" s="1"/>
  <c r="G2246" i="1" s="1"/>
  <c r="F2247" i="1" a="1"/>
  <c r="F2247" i="1" s="1"/>
  <c r="F2246" i="1" s="1"/>
  <c r="K2245" i="1" a="1"/>
  <c r="K2245" i="1" s="1"/>
  <c r="K2244" i="1" s="1"/>
  <c r="J2245" i="1" a="1"/>
  <c r="J2245" i="1" s="1"/>
  <c r="J2244" i="1" s="1"/>
  <c r="I2245" i="1" a="1"/>
  <c r="I2245" i="1" s="1"/>
  <c r="I2244" i="1" s="1"/>
  <c r="H2245" i="1" a="1"/>
  <c r="H2245" i="1" s="1"/>
  <c r="H2244" i="1" s="1"/>
  <c r="G2245" i="1" a="1"/>
  <c r="G2245" i="1" s="1"/>
  <c r="G2244" i="1" s="1"/>
  <c r="F2245" i="1" a="1"/>
  <c r="F2245" i="1" s="1"/>
  <c r="F2244" i="1" s="1"/>
  <c r="K2243" i="1" a="1"/>
  <c r="K2243" i="1" s="1"/>
  <c r="K2242" i="1" s="1"/>
  <c r="J2243" i="1" a="1"/>
  <c r="J2243" i="1" s="1"/>
  <c r="J2242" i="1" s="1"/>
  <c r="I2243" i="1" a="1"/>
  <c r="I2243" i="1" s="1"/>
  <c r="I2242" i="1" s="1"/>
  <c r="H2243" i="1" a="1"/>
  <c r="H2243" i="1" s="1"/>
  <c r="H2242" i="1" s="1"/>
  <c r="G2243" i="1" a="1"/>
  <c r="G2243" i="1" s="1"/>
  <c r="G2242" i="1" s="1"/>
  <c r="F2243" i="1" a="1"/>
  <c r="F2243" i="1" s="1"/>
  <c r="F2242" i="1" s="1"/>
  <c r="K2241" i="1" a="1"/>
  <c r="K2241" i="1" s="1"/>
  <c r="K2240" i="1" s="1"/>
  <c r="J2241" i="1" a="1"/>
  <c r="J2241" i="1" s="1"/>
  <c r="J2240" i="1" s="1"/>
  <c r="I2241" i="1" a="1"/>
  <c r="I2241" i="1" s="1"/>
  <c r="I2240" i="1" s="1"/>
  <c r="H2241" i="1" a="1"/>
  <c r="H2241" i="1" s="1"/>
  <c r="H2240" i="1" s="1"/>
  <c r="G2241" i="1" a="1"/>
  <c r="G2241" i="1" s="1"/>
  <c r="G2240" i="1" s="1"/>
  <c r="F2241" i="1" a="1"/>
  <c r="F2241" i="1" s="1"/>
  <c r="F2240" i="1" s="1"/>
  <c r="K2239" i="1" a="1"/>
  <c r="K2239" i="1" s="1"/>
  <c r="K2238" i="1" s="1"/>
  <c r="J2239" i="1" a="1"/>
  <c r="J2239" i="1" s="1"/>
  <c r="J2238" i="1" s="1"/>
  <c r="I2239" i="1" a="1"/>
  <c r="I2239" i="1" s="1"/>
  <c r="I2238" i="1" s="1"/>
  <c r="H2239" i="1" a="1"/>
  <c r="H2239" i="1" s="1"/>
  <c r="H2238" i="1" s="1"/>
  <c r="G2239" i="1" a="1"/>
  <c r="G2239" i="1" s="1"/>
  <c r="G2238" i="1" s="1"/>
  <c r="F2239" i="1" a="1"/>
  <c r="F2239" i="1" s="1"/>
  <c r="F2238" i="1" s="1"/>
  <c r="K2237" i="1" a="1"/>
  <c r="K2237" i="1" s="1"/>
  <c r="J2237" i="1" a="1"/>
  <c r="J2237" i="1" s="1"/>
  <c r="I2237" i="1" a="1"/>
  <c r="I2237" i="1" s="1"/>
  <c r="H2237" i="1" a="1"/>
  <c r="H2237" i="1" s="1"/>
  <c r="G2237" i="1" a="1"/>
  <c r="G2237" i="1" s="1"/>
  <c r="F2237" i="1" a="1"/>
  <c r="F2237" i="1" s="1"/>
  <c r="K2236" i="1" a="1"/>
  <c r="K2236" i="1" s="1"/>
  <c r="K2235" i="1" s="1"/>
  <c r="J2236" i="1" a="1"/>
  <c r="J2236" i="1" s="1"/>
  <c r="J2235" i="1" s="1"/>
  <c r="I2236" i="1" a="1"/>
  <c r="I2236" i="1" s="1"/>
  <c r="I2235" i="1" s="1"/>
  <c r="H2236" i="1" a="1"/>
  <c r="H2236" i="1" s="1"/>
  <c r="H2235" i="1" s="1"/>
  <c r="G2236" i="1" a="1"/>
  <c r="G2236" i="1" s="1"/>
  <c r="G2235" i="1" s="1"/>
  <c r="F2236" i="1" a="1"/>
  <c r="F2236" i="1" s="1"/>
  <c r="F2235" i="1" s="1"/>
  <c r="K2234" i="1" a="1"/>
  <c r="K2234" i="1" s="1"/>
  <c r="K2233" i="1" s="1"/>
  <c r="J2234" i="1" a="1"/>
  <c r="J2234" i="1" s="1"/>
  <c r="J2233" i="1" s="1"/>
  <c r="I2234" i="1" a="1"/>
  <c r="I2234" i="1" s="1"/>
  <c r="I2233" i="1" s="1"/>
  <c r="H2234" i="1" a="1"/>
  <c r="H2234" i="1" s="1"/>
  <c r="H2233" i="1" s="1"/>
  <c r="G2234" i="1" a="1"/>
  <c r="G2234" i="1" s="1"/>
  <c r="G2233" i="1" s="1"/>
  <c r="F2234" i="1" a="1"/>
  <c r="F2234" i="1" s="1"/>
  <c r="F2233" i="1" s="1"/>
  <c r="K2232" i="1" a="1"/>
  <c r="K2232" i="1" s="1"/>
  <c r="J2232" i="1" a="1"/>
  <c r="J2232" i="1" s="1"/>
  <c r="I2232" i="1" a="1"/>
  <c r="I2232" i="1" s="1"/>
  <c r="H2232" i="1" a="1"/>
  <c r="H2232" i="1" s="1"/>
  <c r="G2232" i="1" a="1"/>
  <c r="G2232" i="1" s="1"/>
  <c r="F2232" i="1" a="1"/>
  <c r="F2232" i="1" s="1"/>
  <c r="K2231" i="1" a="1"/>
  <c r="K2231" i="1" s="1"/>
  <c r="K2230" i="1" s="1"/>
  <c r="K2229" i="1" s="1"/>
  <c r="K2228" i="1" s="1"/>
  <c r="J2231" i="1" a="1"/>
  <c r="J2231" i="1" s="1"/>
  <c r="J2230" i="1" s="1"/>
  <c r="J2229" i="1" s="1"/>
  <c r="J2228" i="1" s="1"/>
  <c r="I2231" i="1" a="1"/>
  <c r="I2231" i="1" s="1"/>
  <c r="I2230" i="1" s="1"/>
  <c r="I2229" i="1" s="1"/>
  <c r="I2228" i="1" s="1"/>
  <c r="H2231" i="1" a="1"/>
  <c r="H2231" i="1" s="1"/>
  <c r="H2230" i="1" s="1"/>
  <c r="H2229" i="1" s="1"/>
  <c r="H2228" i="1" s="1"/>
  <c r="G2231" i="1" a="1"/>
  <c r="G2231" i="1" s="1"/>
  <c r="G2230" i="1" s="1"/>
  <c r="G2229" i="1" s="1"/>
  <c r="G2228" i="1" s="1"/>
  <c r="F2231" i="1" a="1"/>
  <c r="F2231" i="1" s="1"/>
  <c r="F2230" i="1" s="1"/>
  <c r="F2229" i="1" s="1"/>
  <c r="F2228" i="1" s="1"/>
  <c r="K2227" i="1" a="1"/>
  <c r="K2227" i="1" s="1"/>
  <c r="J2227" i="1" a="1"/>
  <c r="J2227" i="1" s="1"/>
  <c r="I2227" i="1" a="1"/>
  <c r="I2227" i="1" s="1"/>
  <c r="H2227" i="1" a="1"/>
  <c r="H2227" i="1" s="1"/>
  <c r="G2227" i="1" a="1"/>
  <c r="G2227" i="1" s="1"/>
  <c r="F2227" i="1" a="1"/>
  <c r="F2227" i="1" s="1"/>
  <c r="K2226" i="1" a="1"/>
  <c r="K2226" i="1" s="1"/>
  <c r="J2226" i="1" a="1"/>
  <c r="J2226" i="1" s="1"/>
  <c r="I2226" i="1" a="1"/>
  <c r="I2226" i="1" s="1"/>
  <c r="H2226" i="1" a="1"/>
  <c r="H2226" i="1" s="1"/>
  <c r="G2226" i="1" a="1"/>
  <c r="G2226" i="1" s="1"/>
  <c r="F2226" i="1" a="1"/>
  <c r="F2226" i="1" s="1"/>
  <c r="K2224" i="1" a="1"/>
  <c r="K2224" i="1" s="1"/>
  <c r="K2225" i="1" s="1" a="1"/>
  <c r="K2225" i="1" s="1"/>
  <c r="J2224" i="1" a="1"/>
  <c r="J2224" i="1" s="1"/>
  <c r="J2225" i="1" s="1" a="1"/>
  <c r="J2225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K2222" i="1" a="1"/>
  <c r="K2222" i="1" s="1"/>
  <c r="K2223" i="1" s="1" a="1"/>
  <c r="K2223" i="1" s="1"/>
  <c r="J2222" i="1" a="1"/>
  <c r="J2222" i="1" s="1"/>
  <c r="J2223" i="1" s="1" a="1"/>
  <c r="J2223" i="1" s="1"/>
  <c r="I2222" i="1" a="1"/>
  <c r="I2222" i="1" s="1"/>
  <c r="I2223" i="1" s="1" a="1"/>
  <c r="I2223" i="1" s="1"/>
  <c r="H2222" i="1" a="1"/>
  <c r="H2222" i="1" s="1"/>
  <c r="H2223" i="1" s="1" a="1"/>
  <c r="H2223" i="1" s="1"/>
  <c r="G2222" i="1" a="1"/>
  <c r="G2222" i="1" s="1"/>
  <c r="G2223" i="1" s="1" a="1"/>
  <c r="G2223" i="1" s="1"/>
  <c r="F2222" i="1" a="1"/>
  <c r="F2222" i="1" s="1"/>
  <c r="F2223" i="1" s="1" a="1"/>
  <c r="F2223" i="1" s="1"/>
  <c r="K2221" i="1" a="1"/>
  <c r="K2221" i="1" s="1"/>
  <c r="J2221" i="1" a="1"/>
  <c r="J2221" i="1" s="1"/>
  <c r="I2221" i="1" a="1"/>
  <c r="I2221" i="1" s="1"/>
  <c r="H2221" i="1" a="1"/>
  <c r="H2221" i="1" s="1"/>
  <c r="G2221" i="1" a="1"/>
  <c r="G2221" i="1" s="1"/>
  <c r="F2221" i="1" a="1"/>
  <c r="F2221" i="1" s="1"/>
  <c r="K2219" i="1" a="1"/>
  <c r="K2219" i="1" s="1"/>
  <c r="K2220" i="1" s="1" a="1"/>
  <c r="K2220" i="1" s="1"/>
  <c r="J2219" i="1" a="1"/>
  <c r="J2219" i="1" s="1"/>
  <c r="J2220" i="1" s="1" a="1"/>
  <c r="J2220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K2217" i="1" a="1"/>
  <c r="K2217" i="1" s="1"/>
  <c r="J2217" i="1" a="1"/>
  <c r="J2217" i="1" s="1"/>
  <c r="I2217" i="1" a="1"/>
  <c r="I2217" i="1" s="1"/>
  <c r="H2217" i="1" a="1"/>
  <c r="H2217" i="1" s="1"/>
  <c r="G2217" i="1" a="1"/>
  <c r="G2217" i="1" s="1"/>
  <c r="F2217" i="1" a="1"/>
  <c r="F2217" i="1" s="1"/>
  <c r="K2216" i="1" a="1"/>
  <c r="K2216" i="1" s="1"/>
  <c r="J2216" i="1" a="1"/>
  <c r="J2216" i="1" s="1"/>
  <c r="I2216" i="1" a="1"/>
  <c r="I2216" i="1" s="1"/>
  <c r="H2216" i="1" a="1"/>
  <c r="H2216" i="1" s="1"/>
  <c r="G2216" i="1" a="1"/>
  <c r="G2216" i="1" s="1"/>
  <c r="F2216" i="1" a="1"/>
  <c r="F2216" i="1" s="1"/>
  <c r="K2214" i="1" a="1"/>
  <c r="K2214" i="1" s="1"/>
  <c r="K2215" i="1" s="1" a="1"/>
  <c r="K2215" i="1" s="1"/>
  <c r="J2214" i="1" a="1"/>
  <c r="J2214" i="1" s="1"/>
  <c r="J2215" i="1" s="1" a="1"/>
  <c r="J2215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K2212" i="1" a="1"/>
  <c r="K2212" i="1" s="1"/>
  <c r="K2213" i="1" s="1" a="1"/>
  <c r="K2213" i="1" s="1"/>
  <c r="J2212" i="1" a="1"/>
  <c r="J2212" i="1" s="1"/>
  <c r="J2213" i="1" s="1" a="1"/>
  <c r="J2213" i="1" s="1"/>
  <c r="I2212" i="1" a="1"/>
  <c r="I2212" i="1" s="1"/>
  <c r="I2213" i="1" s="1" a="1"/>
  <c r="I2213" i="1" s="1"/>
  <c r="H2212" i="1" a="1"/>
  <c r="H2212" i="1" s="1"/>
  <c r="H2213" i="1" s="1" a="1"/>
  <c r="H2213" i="1" s="1"/>
  <c r="G2212" i="1" a="1"/>
  <c r="G2212" i="1" s="1"/>
  <c r="G2213" i="1" s="1" a="1"/>
  <c r="G2213" i="1" s="1"/>
  <c r="F2212" i="1" a="1"/>
  <c r="F2212" i="1" s="1"/>
  <c r="F2213" i="1" s="1" a="1"/>
  <c r="F2213" i="1" s="1"/>
  <c r="K2211" i="1" a="1"/>
  <c r="K2211" i="1" s="1"/>
  <c r="J2211" i="1" a="1"/>
  <c r="J2211" i="1" s="1"/>
  <c r="I2211" i="1" a="1"/>
  <c r="I2211" i="1" s="1"/>
  <c r="H2211" i="1" a="1"/>
  <c r="H2211" i="1" s="1"/>
  <c r="G2211" i="1" a="1"/>
  <c r="G2211" i="1" s="1"/>
  <c r="F2211" i="1" a="1"/>
  <c r="F2211" i="1" s="1"/>
  <c r="K2209" i="1" a="1"/>
  <c r="K2209" i="1" s="1"/>
  <c r="K2210" i="1" s="1" a="1"/>
  <c r="K2210" i="1" s="1"/>
  <c r="J2209" i="1" a="1"/>
  <c r="J2209" i="1" s="1"/>
  <c r="J2210" i="1" s="1" a="1"/>
  <c r="J2210" i="1" s="1"/>
  <c r="I2209" i="1" a="1"/>
  <c r="I2209" i="1" s="1"/>
  <c r="I2210" i="1" s="1" a="1"/>
  <c r="I2210" i="1" s="1"/>
  <c r="H2209" i="1" a="1"/>
  <c r="H2209" i="1" s="1"/>
  <c r="H2210" i="1" s="1" a="1"/>
  <c r="H2210" i="1" s="1"/>
  <c r="G2209" i="1" a="1"/>
  <c r="G2209" i="1" s="1"/>
  <c r="G2210" i="1" s="1" a="1"/>
  <c r="G2210" i="1" s="1"/>
  <c r="F2209" i="1" a="1"/>
  <c r="F2209" i="1" s="1"/>
  <c r="F2210" i="1" s="1" a="1"/>
  <c r="F2210" i="1" s="1"/>
  <c r="K2207" i="1" a="1"/>
  <c r="K2207" i="1" s="1"/>
  <c r="J2207" i="1" a="1"/>
  <c r="J2207" i="1" s="1"/>
  <c r="I2207" i="1" a="1"/>
  <c r="I2207" i="1" s="1"/>
  <c r="H2207" i="1" a="1"/>
  <c r="H2207" i="1" s="1"/>
  <c r="G2207" i="1" a="1"/>
  <c r="G2207" i="1" s="1"/>
  <c r="F2207" i="1" a="1"/>
  <c r="F2207" i="1" s="1"/>
  <c r="K2206" i="1" a="1"/>
  <c r="K2206" i="1" s="1"/>
  <c r="J2206" i="1" a="1"/>
  <c r="J2206" i="1" s="1"/>
  <c r="I2206" i="1" a="1"/>
  <c r="I2206" i="1" s="1"/>
  <c r="H2206" i="1" a="1"/>
  <c r="H2206" i="1" s="1"/>
  <c r="G2206" i="1" a="1"/>
  <c r="G2206" i="1" s="1"/>
  <c r="F2206" i="1" a="1"/>
  <c r="F2206" i="1" s="1"/>
  <c r="K2205" i="1" a="1"/>
  <c r="K2205" i="1" s="1"/>
  <c r="J2205" i="1" a="1"/>
  <c r="J2205" i="1" s="1"/>
  <c r="I2205" i="1" a="1"/>
  <c r="I2205" i="1" s="1"/>
  <c r="H2205" i="1" a="1"/>
  <c r="H2205" i="1" s="1"/>
  <c r="G2205" i="1" a="1"/>
  <c r="G2205" i="1" s="1"/>
  <c r="F2205" i="1" a="1"/>
  <c r="F2205" i="1" s="1"/>
  <c r="K2204" i="1" a="1"/>
  <c r="K2204" i="1" s="1"/>
  <c r="J2204" i="1" a="1"/>
  <c r="J2204" i="1" s="1"/>
  <c r="I2204" i="1" a="1"/>
  <c r="I2204" i="1" s="1"/>
  <c r="H2204" i="1" a="1"/>
  <c r="H2204" i="1" s="1"/>
  <c r="G2204" i="1" a="1"/>
  <c r="G2204" i="1" s="1"/>
  <c r="F2204" i="1" a="1"/>
  <c r="F2204" i="1" s="1"/>
  <c r="K2203" i="1" a="1"/>
  <c r="K2203" i="1" s="1"/>
  <c r="J2203" i="1" a="1"/>
  <c r="J2203" i="1" s="1"/>
  <c r="I2203" i="1" a="1"/>
  <c r="I2203" i="1" s="1"/>
  <c r="H2203" i="1" a="1"/>
  <c r="H2203" i="1" s="1"/>
  <c r="G2203" i="1" a="1"/>
  <c r="G2203" i="1" s="1"/>
  <c r="F2203" i="1" a="1"/>
  <c r="F2203" i="1" s="1"/>
  <c r="K2202" i="1" a="1"/>
  <c r="K2202" i="1" s="1"/>
  <c r="J2202" i="1" a="1"/>
  <c r="J2202" i="1" s="1"/>
  <c r="I2202" i="1" a="1"/>
  <c r="I2202" i="1" s="1"/>
  <c r="H2202" i="1" a="1"/>
  <c r="H2202" i="1" s="1"/>
  <c r="G2202" i="1" a="1"/>
  <c r="G2202" i="1" s="1"/>
  <c r="F2202" i="1" a="1"/>
  <c r="F2202" i="1" s="1"/>
  <c r="K2201" i="1" a="1"/>
  <c r="K2201" i="1" s="1"/>
  <c r="J2201" i="1" a="1"/>
  <c r="J2201" i="1" s="1"/>
  <c r="I2201" i="1" a="1"/>
  <c r="I2201" i="1" s="1"/>
  <c r="H2201" i="1" a="1"/>
  <c r="H2201" i="1" s="1"/>
  <c r="G2201" i="1" a="1"/>
  <c r="G2201" i="1" s="1"/>
  <c r="F2201" i="1" a="1"/>
  <c r="F2201" i="1" s="1"/>
  <c r="K2200" i="1" a="1"/>
  <c r="K2200" i="1" s="1"/>
  <c r="J2200" i="1" a="1"/>
  <c r="J2200" i="1" s="1"/>
  <c r="I2200" i="1" a="1"/>
  <c r="I2200" i="1" s="1"/>
  <c r="H2200" i="1" a="1"/>
  <c r="H2200" i="1" s="1"/>
  <c r="G2200" i="1" a="1"/>
  <c r="G2200" i="1" s="1"/>
  <c r="F2200" i="1" a="1"/>
  <c r="F2200" i="1" s="1"/>
  <c r="K2199" i="1" a="1"/>
  <c r="K2199" i="1" s="1"/>
  <c r="J2199" i="1" a="1"/>
  <c r="J2199" i="1" s="1"/>
  <c r="I2199" i="1" a="1"/>
  <c r="I2199" i="1" s="1"/>
  <c r="H2199" i="1" a="1"/>
  <c r="H2199" i="1" s="1"/>
  <c r="G2199" i="1" a="1"/>
  <c r="G2199" i="1" s="1"/>
  <c r="F2199" i="1" a="1"/>
  <c r="F2199" i="1" s="1"/>
  <c r="K2198" i="1" a="1"/>
  <c r="K2198" i="1" s="1"/>
  <c r="J2198" i="1" a="1"/>
  <c r="J2198" i="1" s="1"/>
  <c r="I2198" i="1" a="1"/>
  <c r="I2198" i="1" s="1"/>
  <c r="H2198" i="1" a="1"/>
  <c r="H2198" i="1" s="1"/>
  <c r="G2198" i="1" a="1"/>
  <c r="G2198" i="1" s="1"/>
  <c r="F2198" i="1" a="1"/>
  <c r="F2198" i="1" s="1"/>
  <c r="K2197" i="1" a="1"/>
  <c r="K2197" i="1" s="1"/>
  <c r="J2197" i="1" a="1"/>
  <c r="J2197" i="1" s="1"/>
  <c r="I2197" i="1" a="1"/>
  <c r="I2197" i="1" s="1"/>
  <c r="H2197" i="1" a="1"/>
  <c r="H2197" i="1" s="1"/>
  <c r="G2197" i="1" a="1"/>
  <c r="G2197" i="1" s="1"/>
  <c r="F2197" i="1" a="1"/>
  <c r="F2197" i="1" s="1"/>
  <c r="K2196" i="1" a="1"/>
  <c r="K2196" i="1" s="1"/>
  <c r="J2196" i="1" a="1"/>
  <c r="J2196" i="1" s="1"/>
  <c r="I2196" i="1" a="1"/>
  <c r="I2196" i="1" s="1"/>
  <c r="H2196" i="1" a="1"/>
  <c r="H2196" i="1" s="1"/>
  <c r="G2196" i="1" a="1"/>
  <c r="G2196" i="1" s="1"/>
  <c r="F2196" i="1" a="1"/>
  <c r="F2196" i="1" s="1"/>
  <c r="K2195" i="1" a="1"/>
  <c r="K2195" i="1" s="1"/>
  <c r="J2195" i="1" a="1"/>
  <c r="J2195" i="1" s="1"/>
  <c r="I2195" i="1" a="1"/>
  <c r="I2195" i="1" s="1"/>
  <c r="H2195" i="1" a="1"/>
  <c r="H2195" i="1" s="1"/>
  <c r="G2195" i="1" a="1"/>
  <c r="G2195" i="1" s="1"/>
  <c r="F2195" i="1" a="1"/>
  <c r="F2195" i="1" s="1"/>
  <c r="K2194" i="1" a="1"/>
  <c r="K2194" i="1" s="1"/>
  <c r="J2194" i="1" a="1"/>
  <c r="J2194" i="1" s="1"/>
  <c r="I2194" i="1" a="1"/>
  <c r="I2194" i="1" s="1"/>
  <c r="H2194" i="1" a="1"/>
  <c r="H2194" i="1" s="1"/>
  <c r="G2194" i="1" a="1"/>
  <c r="G2194" i="1" s="1"/>
  <c r="F2194" i="1" a="1"/>
  <c r="F2194" i="1" s="1"/>
  <c r="K2193" i="1" a="1"/>
  <c r="K2193" i="1" s="1"/>
  <c r="J2193" i="1" a="1"/>
  <c r="J2193" i="1" s="1"/>
  <c r="I2193" i="1" a="1"/>
  <c r="I2193" i="1" s="1"/>
  <c r="H2193" i="1" a="1"/>
  <c r="H2193" i="1" s="1"/>
  <c r="G2193" i="1" a="1"/>
  <c r="G2193" i="1" s="1"/>
  <c r="F2193" i="1" a="1"/>
  <c r="F2193" i="1" s="1"/>
  <c r="K2192" i="1" a="1"/>
  <c r="K2192" i="1" s="1"/>
  <c r="J2192" i="1" a="1"/>
  <c r="J2192" i="1" s="1"/>
  <c r="I2192" i="1" a="1"/>
  <c r="I2192" i="1" s="1"/>
  <c r="H2192" i="1" a="1"/>
  <c r="H2192" i="1" s="1"/>
  <c r="G2192" i="1" a="1"/>
  <c r="G2192" i="1" s="1"/>
  <c r="F2192" i="1" a="1"/>
  <c r="F2192" i="1" s="1"/>
  <c r="K2191" i="1" a="1"/>
  <c r="K2191" i="1" s="1"/>
  <c r="J2191" i="1" a="1"/>
  <c r="J2191" i="1" s="1"/>
  <c r="I2191" i="1" a="1"/>
  <c r="I2191" i="1" s="1"/>
  <c r="H2191" i="1" a="1"/>
  <c r="H2191" i="1" s="1"/>
  <c r="G2191" i="1" a="1"/>
  <c r="G2191" i="1" s="1"/>
  <c r="F2191" i="1" a="1"/>
  <c r="F2191" i="1" s="1"/>
  <c r="K2190" i="1" a="1"/>
  <c r="K2190" i="1" s="1"/>
  <c r="J2190" i="1" a="1"/>
  <c r="J2190" i="1" s="1"/>
  <c r="I2190" i="1" a="1"/>
  <c r="I2190" i="1" s="1"/>
  <c r="H2190" i="1" a="1"/>
  <c r="H2190" i="1" s="1"/>
  <c r="G2190" i="1" a="1"/>
  <c r="G2190" i="1" s="1"/>
  <c r="F2190" i="1" a="1"/>
  <c r="F2190" i="1" s="1"/>
  <c r="K2189" i="1" a="1"/>
  <c r="K2189" i="1" s="1"/>
  <c r="J2189" i="1" a="1"/>
  <c r="J2189" i="1" s="1"/>
  <c r="I2189" i="1" a="1"/>
  <c r="I2189" i="1" s="1"/>
  <c r="H2189" i="1" a="1"/>
  <c r="H2189" i="1" s="1"/>
  <c r="G2189" i="1" a="1"/>
  <c r="G2189" i="1" s="1"/>
  <c r="F2189" i="1" a="1"/>
  <c r="F2189" i="1" s="1"/>
  <c r="K2188" i="1" a="1"/>
  <c r="K2188" i="1" s="1"/>
  <c r="J2188" i="1" a="1"/>
  <c r="J2188" i="1" s="1"/>
  <c r="I2188" i="1" a="1"/>
  <c r="I2188" i="1" s="1"/>
  <c r="H2188" i="1" a="1"/>
  <c r="H2188" i="1" s="1"/>
  <c r="G2188" i="1" a="1"/>
  <c r="G2188" i="1" s="1"/>
  <c r="F2188" i="1" a="1"/>
  <c r="F2188" i="1" s="1"/>
  <c r="K2187" i="1" a="1"/>
  <c r="K2187" i="1" s="1"/>
  <c r="J2187" i="1" a="1"/>
  <c r="J2187" i="1" s="1"/>
  <c r="I2187" i="1" a="1"/>
  <c r="I2187" i="1" s="1"/>
  <c r="H2187" i="1" a="1"/>
  <c r="H2187" i="1" s="1"/>
  <c r="G2187" i="1" a="1"/>
  <c r="G2187" i="1" s="1"/>
  <c r="F2187" i="1" a="1"/>
  <c r="F2187" i="1" s="1"/>
  <c r="K2186" i="1" a="1"/>
  <c r="K2186" i="1" s="1"/>
  <c r="J2186" i="1" a="1"/>
  <c r="J2186" i="1" s="1"/>
  <c r="I2186" i="1" a="1"/>
  <c r="I2186" i="1" s="1"/>
  <c r="H2186" i="1" a="1"/>
  <c r="H2186" i="1" s="1"/>
  <c r="G2186" i="1" a="1"/>
  <c r="G2186" i="1" s="1"/>
  <c r="F2186" i="1" a="1"/>
  <c r="F2186" i="1" s="1"/>
  <c r="K2185" i="1" a="1"/>
  <c r="K2185" i="1" s="1"/>
  <c r="J2185" i="1" a="1"/>
  <c r="J2185" i="1" s="1"/>
  <c r="I2185" i="1" a="1"/>
  <c r="I2185" i="1" s="1"/>
  <c r="H2185" i="1" a="1"/>
  <c r="H2185" i="1" s="1"/>
  <c r="G2185" i="1" a="1"/>
  <c r="G2185" i="1" s="1"/>
  <c r="F2185" i="1" a="1"/>
  <c r="F2185" i="1" s="1"/>
  <c r="K2183" i="1" a="1"/>
  <c r="K2183" i="1" s="1"/>
  <c r="J2183" i="1" a="1"/>
  <c r="J2183" i="1" s="1"/>
  <c r="I2183" i="1" a="1"/>
  <c r="I2183" i="1" s="1"/>
  <c r="H2183" i="1" a="1"/>
  <c r="H2183" i="1" s="1"/>
  <c r="G2183" i="1" a="1"/>
  <c r="G2183" i="1" s="1"/>
  <c r="F2183" i="1" a="1"/>
  <c r="F2183" i="1" s="1"/>
  <c r="K2182" i="1" a="1"/>
  <c r="K2182" i="1" s="1"/>
  <c r="J2182" i="1" a="1"/>
  <c r="J2182" i="1" s="1"/>
  <c r="I2182" i="1" a="1"/>
  <c r="I2182" i="1" s="1"/>
  <c r="H2182" i="1" a="1"/>
  <c r="H2182" i="1" s="1"/>
  <c r="G2182" i="1" a="1"/>
  <c r="G2182" i="1" s="1"/>
  <c r="F2182" i="1" a="1"/>
  <c r="F2182" i="1" s="1"/>
  <c r="K2181" i="1" a="1"/>
  <c r="K2181" i="1" s="1"/>
  <c r="J2181" i="1" a="1"/>
  <c r="J2181" i="1" s="1"/>
  <c r="I2181" i="1" a="1"/>
  <c r="I2181" i="1" s="1"/>
  <c r="H2181" i="1" a="1"/>
  <c r="H2181" i="1" s="1"/>
  <c r="G2181" i="1" a="1"/>
  <c r="G2181" i="1" s="1"/>
  <c r="F2181" i="1" a="1"/>
  <c r="F2181" i="1" s="1"/>
  <c r="K2180" i="1" a="1"/>
  <c r="K2180" i="1" s="1"/>
  <c r="J2180" i="1" a="1"/>
  <c r="J2180" i="1" s="1"/>
  <c r="I2180" i="1" a="1"/>
  <c r="I2180" i="1" s="1"/>
  <c r="H2180" i="1" a="1"/>
  <c r="H2180" i="1" s="1"/>
  <c r="G2180" i="1" a="1"/>
  <c r="G2180" i="1" s="1"/>
  <c r="F2180" i="1" a="1"/>
  <c r="F2180" i="1" s="1"/>
  <c r="K2179" i="1" a="1"/>
  <c r="K2179" i="1" s="1"/>
  <c r="J2179" i="1" a="1"/>
  <c r="J2179" i="1" s="1"/>
  <c r="I2179" i="1" a="1"/>
  <c r="I2179" i="1" s="1"/>
  <c r="H2179" i="1" a="1"/>
  <c r="H2179" i="1" s="1"/>
  <c r="G2179" i="1" a="1"/>
  <c r="G2179" i="1" s="1"/>
  <c r="F2179" i="1" a="1"/>
  <c r="F2179" i="1" s="1"/>
  <c r="K2178" i="1" a="1"/>
  <c r="K2178" i="1" s="1"/>
  <c r="J2178" i="1" a="1"/>
  <c r="J2178" i="1" s="1"/>
  <c r="I2178" i="1" a="1"/>
  <c r="I2178" i="1" s="1"/>
  <c r="H2178" i="1" a="1"/>
  <c r="H2178" i="1" s="1"/>
  <c r="G2178" i="1" a="1"/>
  <c r="G2178" i="1" s="1"/>
  <c r="F2178" i="1" a="1"/>
  <c r="F2178" i="1" s="1"/>
  <c r="K2177" i="1" a="1"/>
  <c r="K2177" i="1" s="1"/>
  <c r="J2177" i="1" a="1"/>
  <c r="J2177" i="1" s="1"/>
  <c r="I2177" i="1" a="1"/>
  <c r="I2177" i="1" s="1"/>
  <c r="H2177" i="1" a="1"/>
  <c r="H2177" i="1" s="1"/>
  <c r="G2177" i="1" a="1"/>
  <c r="G2177" i="1" s="1"/>
  <c r="F2177" i="1" a="1"/>
  <c r="F2177" i="1" s="1"/>
  <c r="K2176" i="1" a="1"/>
  <c r="K2176" i="1" s="1"/>
  <c r="J2176" i="1" a="1"/>
  <c r="J2176" i="1" s="1"/>
  <c r="I2176" i="1" a="1"/>
  <c r="I2176" i="1" s="1"/>
  <c r="H2176" i="1" a="1"/>
  <c r="H2176" i="1" s="1"/>
  <c r="G2176" i="1" a="1"/>
  <c r="G2176" i="1" s="1"/>
  <c r="F2176" i="1" a="1"/>
  <c r="F2176" i="1" s="1"/>
  <c r="K2175" i="1" a="1"/>
  <c r="K2175" i="1" s="1"/>
  <c r="J2175" i="1" a="1"/>
  <c r="J2175" i="1" s="1"/>
  <c r="I2175" i="1" a="1"/>
  <c r="I2175" i="1" s="1"/>
  <c r="H2175" i="1" a="1"/>
  <c r="H2175" i="1" s="1"/>
  <c r="G2175" i="1" a="1"/>
  <c r="G2175" i="1" s="1"/>
  <c r="F2175" i="1" a="1"/>
  <c r="F2175" i="1" s="1"/>
  <c r="K2174" i="1" a="1"/>
  <c r="K2174" i="1" s="1"/>
  <c r="J2174" i="1" a="1"/>
  <c r="J2174" i="1" s="1"/>
  <c r="I2174" i="1" a="1"/>
  <c r="I2174" i="1" s="1"/>
  <c r="H2174" i="1" a="1"/>
  <c r="H2174" i="1" s="1"/>
  <c r="G2174" i="1" a="1"/>
  <c r="G2174" i="1" s="1"/>
  <c r="F2174" i="1" a="1"/>
  <c r="F2174" i="1" s="1"/>
  <c r="K2173" i="1" a="1"/>
  <c r="K2173" i="1" s="1"/>
  <c r="J2173" i="1" a="1"/>
  <c r="J2173" i="1" s="1"/>
  <c r="I2173" i="1" a="1"/>
  <c r="I2173" i="1" s="1"/>
  <c r="H2173" i="1" a="1"/>
  <c r="H2173" i="1" s="1"/>
  <c r="G2173" i="1" a="1"/>
  <c r="G2173" i="1" s="1"/>
  <c r="F2173" i="1" a="1"/>
  <c r="F2173" i="1" s="1"/>
  <c r="K2172" i="1" a="1"/>
  <c r="K2172" i="1" s="1"/>
  <c r="J2172" i="1" a="1"/>
  <c r="J2172" i="1" s="1"/>
  <c r="I2172" i="1" a="1"/>
  <c r="I2172" i="1" s="1"/>
  <c r="H2172" i="1" a="1"/>
  <c r="H2172" i="1" s="1"/>
  <c r="G2172" i="1" a="1"/>
  <c r="G2172" i="1" s="1"/>
  <c r="F2172" i="1" a="1"/>
  <c r="F2172" i="1" s="1"/>
  <c r="K2171" i="1" a="1"/>
  <c r="K2171" i="1" s="1"/>
  <c r="J2171" i="1" a="1"/>
  <c r="J2171" i="1" s="1"/>
  <c r="I2171" i="1" a="1"/>
  <c r="I2171" i="1" s="1"/>
  <c r="H2171" i="1" a="1"/>
  <c r="H2171" i="1" s="1"/>
  <c r="G2171" i="1" a="1"/>
  <c r="G2171" i="1" s="1"/>
  <c r="F2171" i="1" a="1"/>
  <c r="F2171" i="1" s="1"/>
  <c r="K2170" i="1" a="1"/>
  <c r="K2170" i="1" s="1"/>
  <c r="J2170" i="1" a="1"/>
  <c r="J2170" i="1" s="1"/>
  <c r="I2170" i="1" a="1"/>
  <c r="I2170" i="1" s="1"/>
  <c r="H2170" i="1" a="1"/>
  <c r="H2170" i="1" s="1"/>
  <c r="G2170" i="1" a="1"/>
  <c r="G2170" i="1" s="1"/>
  <c r="F2170" i="1" a="1"/>
  <c r="F2170" i="1" s="1"/>
  <c r="K2169" i="1" a="1"/>
  <c r="K2169" i="1" s="1"/>
  <c r="J2169" i="1" a="1"/>
  <c r="J2169" i="1" s="1"/>
  <c r="I2169" i="1" a="1"/>
  <c r="I2169" i="1" s="1"/>
  <c r="H2169" i="1" a="1"/>
  <c r="H2169" i="1" s="1"/>
  <c r="G2169" i="1" a="1"/>
  <c r="G2169" i="1" s="1"/>
  <c r="F2169" i="1" a="1"/>
  <c r="F2169" i="1" s="1"/>
  <c r="K2168" i="1" a="1"/>
  <c r="K2168" i="1" s="1"/>
  <c r="J2168" i="1" a="1"/>
  <c r="J2168" i="1" s="1"/>
  <c r="I2168" i="1" a="1"/>
  <c r="I2168" i="1" s="1"/>
  <c r="H2168" i="1" a="1"/>
  <c r="H2168" i="1" s="1"/>
  <c r="G2168" i="1" a="1"/>
  <c r="G2168" i="1" s="1"/>
  <c r="F2168" i="1" a="1"/>
  <c r="F2168" i="1" s="1"/>
  <c r="K2167" i="1" a="1"/>
  <c r="K2167" i="1" s="1"/>
  <c r="J2167" i="1" a="1"/>
  <c r="J2167" i="1" s="1"/>
  <c r="I2167" i="1" a="1"/>
  <c r="I2167" i="1" s="1"/>
  <c r="H2167" i="1" a="1"/>
  <c r="H2167" i="1" s="1"/>
  <c r="G2167" i="1" a="1"/>
  <c r="G2167" i="1" s="1"/>
  <c r="F2167" i="1" a="1"/>
  <c r="F2167" i="1" s="1"/>
  <c r="K2166" i="1" a="1"/>
  <c r="K2166" i="1" s="1"/>
  <c r="J2166" i="1" a="1"/>
  <c r="J2166" i="1" s="1"/>
  <c r="I2166" i="1" a="1"/>
  <c r="I2166" i="1" s="1"/>
  <c r="H2166" i="1" a="1"/>
  <c r="H2166" i="1" s="1"/>
  <c r="G2166" i="1" a="1"/>
  <c r="G2166" i="1" s="1"/>
  <c r="F2166" i="1" a="1"/>
  <c r="F2166" i="1" s="1"/>
  <c r="K2165" i="1" a="1"/>
  <c r="K2165" i="1" s="1"/>
  <c r="J2165" i="1" a="1"/>
  <c r="J2165" i="1" s="1"/>
  <c r="I2165" i="1" a="1"/>
  <c r="I2165" i="1" s="1"/>
  <c r="H2165" i="1" a="1"/>
  <c r="H2165" i="1" s="1"/>
  <c r="G2165" i="1" a="1"/>
  <c r="G2165" i="1" s="1"/>
  <c r="F2165" i="1" a="1"/>
  <c r="F2165" i="1" s="1"/>
  <c r="K2164" i="1" a="1"/>
  <c r="K2164" i="1" s="1"/>
  <c r="J2164" i="1" a="1"/>
  <c r="J2164" i="1" s="1"/>
  <c r="I2164" i="1" a="1"/>
  <c r="I2164" i="1" s="1"/>
  <c r="H2164" i="1" a="1"/>
  <c r="H2164" i="1" s="1"/>
  <c r="G2164" i="1" a="1"/>
  <c r="G2164" i="1" s="1"/>
  <c r="F2164" i="1" a="1"/>
  <c r="F2164" i="1" s="1"/>
  <c r="K2163" i="1" a="1"/>
  <c r="K2163" i="1" s="1"/>
  <c r="J2163" i="1" a="1"/>
  <c r="J2163" i="1" s="1"/>
  <c r="I2163" i="1" a="1"/>
  <c r="I2163" i="1" s="1"/>
  <c r="H2163" i="1" a="1"/>
  <c r="H2163" i="1" s="1"/>
  <c r="G2163" i="1" a="1"/>
  <c r="G2163" i="1" s="1"/>
  <c r="F2163" i="1" a="1"/>
  <c r="F2163" i="1" s="1"/>
  <c r="K2162" i="1" a="1"/>
  <c r="K2162" i="1" s="1"/>
  <c r="J2162" i="1" a="1"/>
  <c r="J2162" i="1" s="1"/>
  <c r="I2162" i="1" a="1"/>
  <c r="I2162" i="1" s="1"/>
  <c r="H2162" i="1" a="1"/>
  <c r="H2162" i="1" s="1"/>
  <c r="G2162" i="1" a="1"/>
  <c r="G2162" i="1" s="1"/>
  <c r="F2162" i="1" a="1"/>
  <c r="F2162" i="1" s="1"/>
  <c r="K2161" i="1" a="1"/>
  <c r="K2161" i="1" s="1"/>
  <c r="J2161" i="1" a="1"/>
  <c r="J2161" i="1" s="1"/>
  <c r="I2161" i="1" a="1"/>
  <c r="I2161" i="1" s="1"/>
  <c r="H2161" i="1" a="1"/>
  <c r="H2161" i="1" s="1"/>
  <c r="G2161" i="1" a="1"/>
  <c r="G2161" i="1" s="1"/>
  <c r="F2161" i="1" a="1"/>
  <c r="F2161" i="1" s="1"/>
  <c r="K2159" i="1" a="1"/>
  <c r="K2159" i="1" s="1"/>
  <c r="J2159" i="1" a="1"/>
  <c r="J2159" i="1" s="1"/>
  <c r="I2159" i="1" a="1"/>
  <c r="I2159" i="1" s="1"/>
  <c r="H2159" i="1" a="1"/>
  <c r="H2159" i="1" s="1"/>
  <c r="G2159" i="1" a="1"/>
  <c r="G2159" i="1" s="1"/>
  <c r="F2159" i="1" a="1"/>
  <c r="F2159" i="1" s="1"/>
  <c r="K2158" i="1" a="1"/>
  <c r="K2158" i="1" s="1"/>
  <c r="J2158" i="1" a="1"/>
  <c r="J2158" i="1" s="1"/>
  <c r="I2158" i="1" a="1"/>
  <c r="I2158" i="1" s="1"/>
  <c r="H2158" i="1" a="1"/>
  <c r="H2158" i="1" s="1"/>
  <c r="G2158" i="1" a="1"/>
  <c r="G2158" i="1" s="1"/>
  <c r="F2158" i="1" a="1"/>
  <c r="F2158" i="1" s="1"/>
  <c r="K2157" i="1" a="1"/>
  <c r="K2157" i="1" s="1"/>
  <c r="J2157" i="1" a="1"/>
  <c r="J2157" i="1" s="1"/>
  <c r="I2157" i="1" a="1"/>
  <c r="I2157" i="1" s="1"/>
  <c r="H2157" i="1" a="1"/>
  <c r="H2157" i="1" s="1"/>
  <c r="G2157" i="1" a="1"/>
  <c r="G2157" i="1" s="1"/>
  <c r="F2157" i="1" a="1"/>
  <c r="F2157" i="1" s="1"/>
  <c r="K2156" i="1" a="1"/>
  <c r="K2156" i="1" s="1"/>
  <c r="J2156" i="1" a="1"/>
  <c r="J2156" i="1" s="1"/>
  <c r="I2156" i="1" a="1"/>
  <c r="I2156" i="1" s="1"/>
  <c r="H2156" i="1" a="1"/>
  <c r="H2156" i="1" s="1"/>
  <c r="G2156" i="1" a="1"/>
  <c r="G2156" i="1" s="1"/>
  <c r="F2156" i="1" a="1"/>
  <c r="F2156" i="1" s="1"/>
  <c r="K2155" i="1" a="1"/>
  <c r="K2155" i="1" s="1"/>
  <c r="J2155" i="1" a="1"/>
  <c r="J2155" i="1" s="1"/>
  <c r="I2155" i="1" a="1"/>
  <c r="I2155" i="1" s="1"/>
  <c r="H2155" i="1" a="1"/>
  <c r="H2155" i="1" s="1"/>
  <c r="G2155" i="1" a="1"/>
  <c r="G2155" i="1" s="1"/>
  <c r="F2155" i="1" a="1"/>
  <c r="F2155" i="1" s="1"/>
  <c r="K2154" i="1" a="1"/>
  <c r="K2154" i="1" s="1"/>
  <c r="J2154" i="1" a="1"/>
  <c r="J2154" i="1" s="1"/>
  <c r="I2154" i="1" a="1"/>
  <c r="I2154" i="1" s="1"/>
  <c r="H2154" i="1" a="1"/>
  <c r="H2154" i="1" s="1"/>
  <c r="G2154" i="1" a="1"/>
  <c r="G2154" i="1" s="1"/>
  <c r="F2154" i="1" a="1"/>
  <c r="F2154" i="1" s="1"/>
  <c r="K2153" i="1" a="1"/>
  <c r="K2153" i="1" s="1"/>
  <c r="J2153" i="1" a="1"/>
  <c r="J2153" i="1" s="1"/>
  <c r="I2153" i="1" a="1"/>
  <c r="I2153" i="1" s="1"/>
  <c r="H2153" i="1" a="1"/>
  <c r="H2153" i="1" s="1"/>
  <c r="G2153" i="1" a="1"/>
  <c r="G2153" i="1" s="1"/>
  <c r="F2153" i="1" a="1"/>
  <c r="F2153" i="1" s="1"/>
  <c r="K2152" i="1" a="1"/>
  <c r="K2152" i="1" s="1"/>
  <c r="J2152" i="1" a="1"/>
  <c r="J2152" i="1" s="1"/>
  <c r="I2152" i="1" a="1"/>
  <c r="I2152" i="1" s="1"/>
  <c r="H2152" i="1" a="1"/>
  <c r="H2152" i="1" s="1"/>
  <c r="G2152" i="1" a="1"/>
  <c r="G2152" i="1" s="1"/>
  <c r="F2152" i="1" a="1"/>
  <c r="F2152" i="1" s="1"/>
  <c r="K2151" i="1" a="1"/>
  <c r="K2151" i="1" s="1"/>
  <c r="J2151" i="1" a="1"/>
  <c r="J2151" i="1" s="1"/>
  <c r="I2151" i="1" a="1"/>
  <c r="I2151" i="1" s="1"/>
  <c r="H2151" i="1" a="1"/>
  <c r="H2151" i="1" s="1"/>
  <c r="G2151" i="1" a="1"/>
  <c r="G2151" i="1" s="1"/>
  <c r="F2151" i="1" a="1"/>
  <c r="F2151" i="1" s="1"/>
  <c r="K2150" i="1" a="1"/>
  <c r="K2150" i="1" s="1"/>
  <c r="J2150" i="1" a="1"/>
  <c r="J2150" i="1" s="1"/>
  <c r="I2150" i="1" a="1"/>
  <c r="I2150" i="1" s="1"/>
  <c r="H2150" i="1" a="1"/>
  <c r="H2150" i="1" s="1"/>
  <c r="G2150" i="1" a="1"/>
  <c r="G2150" i="1" s="1"/>
  <c r="F2150" i="1" a="1"/>
  <c r="F2150" i="1" s="1"/>
  <c r="K2149" i="1" a="1"/>
  <c r="K2149" i="1" s="1"/>
  <c r="J2149" i="1" a="1"/>
  <c r="J2149" i="1" s="1"/>
  <c r="I2149" i="1" a="1"/>
  <c r="I2149" i="1" s="1"/>
  <c r="H2149" i="1" a="1"/>
  <c r="H2149" i="1" s="1"/>
  <c r="G2149" i="1" a="1"/>
  <c r="G2149" i="1" s="1"/>
  <c r="F2149" i="1" a="1"/>
  <c r="F2149" i="1" s="1"/>
  <c r="K2148" i="1" a="1"/>
  <c r="K2148" i="1" s="1"/>
  <c r="J2148" i="1" a="1"/>
  <c r="J2148" i="1" s="1"/>
  <c r="I2148" i="1" a="1"/>
  <c r="I2148" i="1" s="1"/>
  <c r="H2148" i="1" a="1"/>
  <c r="H2148" i="1" s="1"/>
  <c r="G2148" i="1" a="1"/>
  <c r="G2148" i="1" s="1"/>
  <c r="F2148" i="1" a="1"/>
  <c r="F2148" i="1" s="1"/>
  <c r="K2147" i="1" a="1"/>
  <c r="K2147" i="1" s="1"/>
  <c r="J2147" i="1" a="1"/>
  <c r="J2147" i="1" s="1"/>
  <c r="I2147" i="1" a="1"/>
  <c r="I2147" i="1" s="1"/>
  <c r="H2147" i="1" a="1"/>
  <c r="H2147" i="1" s="1"/>
  <c r="G2147" i="1" a="1"/>
  <c r="G2147" i="1" s="1"/>
  <c r="F2147" i="1" a="1"/>
  <c r="F2147" i="1" s="1"/>
  <c r="K2146" i="1" a="1"/>
  <c r="K2146" i="1" s="1"/>
  <c r="J2146" i="1" a="1"/>
  <c r="J2146" i="1" s="1"/>
  <c r="I2146" i="1" a="1"/>
  <c r="I2146" i="1" s="1"/>
  <c r="H2146" i="1" a="1"/>
  <c r="H2146" i="1" s="1"/>
  <c r="G2146" i="1" a="1"/>
  <c r="G2146" i="1" s="1"/>
  <c r="F2146" i="1" a="1"/>
  <c r="F2146" i="1" s="1"/>
  <c r="K2145" i="1" a="1"/>
  <c r="K2145" i="1" s="1"/>
  <c r="J2145" i="1" a="1"/>
  <c r="J2145" i="1" s="1"/>
  <c r="I2145" i="1" a="1"/>
  <c r="I2145" i="1" s="1"/>
  <c r="H2145" i="1" a="1"/>
  <c r="H2145" i="1" s="1"/>
  <c r="G2145" i="1" a="1"/>
  <c r="G2145" i="1" s="1"/>
  <c r="F2145" i="1" a="1"/>
  <c r="F2145" i="1" s="1"/>
  <c r="K2144" i="1" a="1"/>
  <c r="K2144" i="1" s="1"/>
  <c r="J2144" i="1" a="1"/>
  <c r="J2144" i="1" s="1"/>
  <c r="I2144" i="1" a="1"/>
  <c r="I2144" i="1" s="1"/>
  <c r="H2144" i="1" a="1"/>
  <c r="H2144" i="1" s="1"/>
  <c r="G2144" i="1" a="1"/>
  <c r="G2144" i="1" s="1"/>
  <c r="F2144" i="1" a="1"/>
  <c r="F2144" i="1" s="1"/>
  <c r="K2143" i="1" a="1"/>
  <c r="K2143" i="1" s="1"/>
  <c r="J2143" i="1" a="1"/>
  <c r="J2143" i="1" s="1"/>
  <c r="I2143" i="1" a="1"/>
  <c r="I2143" i="1" s="1"/>
  <c r="H2143" i="1" a="1"/>
  <c r="H2143" i="1" s="1"/>
  <c r="G2143" i="1" a="1"/>
  <c r="G2143" i="1" s="1"/>
  <c r="F2143" i="1" a="1"/>
  <c r="F2143" i="1" s="1"/>
  <c r="K2142" i="1" a="1"/>
  <c r="K2142" i="1" s="1"/>
  <c r="J2142" i="1" a="1"/>
  <c r="J2142" i="1" s="1"/>
  <c r="I2142" i="1" a="1"/>
  <c r="I2142" i="1" s="1"/>
  <c r="H2142" i="1" a="1"/>
  <c r="H2142" i="1" s="1"/>
  <c r="G2142" i="1" a="1"/>
  <c r="G2142" i="1" s="1"/>
  <c r="F2142" i="1" a="1"/>
  <c r="F2142" i="1" s="1"/>
  <c r="K2141" i="1" a="1"/>
  <c r="K2141" i="1" s="1"/>
  <c r="J2141" i="1" a="1"/>
  <c r="J2141" i="1" s="1"/>
  <c r="I2141" i="1" a="1"/>
  <c r="I2141" i="1" s="1"/>
  <c r="H2141" i="1" a="1"/>
  <c r="H2141" i="1" s="1"/>
  <c r="G2141" i="1" a="1"/>
  <c r="G2141" i="1" s="1"/>
  <c r="F2141" i="1" a="1"/>
  <c r="F2141" i="1" s="1"/>
  <c r="K2140" i="1" a="1"/>
  <c r="K2140" i="1" s="1"/>
  <c r="J2140" i="1" a="1"/>
  <c r="J2140" i="1" s="1"/>
  <c r="I2140" i="1" a="1"/>
  <c r="I2140" i="1" s="1"/>
  <c r="H2140" i="1" a="1"/>
  <c r="H2140" i="1" s="1"/>
  <c r="G2140" i="1" a="1"/>
  <c r="G2140" i="1" s="1"/>
  <c r="F2140" i="1" a="1"/>
  <c r="F2140" i="1" s="1"/>
  <c r="K2139" i="1" a="1"/>
  <c r="K2139" i="1" s="1"/>
  <c r="J2139" i="1" a="1"/>
  <c r="J2139" i="1" s="1"/>
  <c r="I2139" i="1" a="1"/>
  <c r="I2139" i="1" s="1"/>
  <c r="H2139" i="1" a="1"/>
  <c r="H2139" i="1" s="1"/>
  <c r="G2139" i="1" a="1"/>
  <c r="G2139" i="1" s="1"/>
  <c r="F2139" i="1" a="1"/>
  <c r="F2139" i="1" s="1"/>
  <c r="K2138" i="1" a="1"/>
  <c r="K2138" i="1" s="1"/>
  <c r="J2138" i="1" a="1"/>
  <c r="J2138" i="1" s="1"/>
  <c r="I2138" i="1" a="1"/>
  <c r="I2138" i="1" s="1"/>
  <c r="H2138" i="1" a="1"/>
  <c r="H2138" i="1" s="1"/>
  <c r="G2138" i="1" a="1"/>
  <c r="G2138" i="1" s="1"/>
  <c r="F2138" i="1" a="1"/>
  <c r="F2138" i="1" s="1"/>
  <c r="K2137" i="1" a="1"/>
  <c r="K2137" i="1" s="1"/>
  <c r="J2137" i="1" a="1"/>
  <c r="J2137" i="1" s="1"/>
  <c r="I2137" i="1" a="1"/>
  <c r="I2137" i="1" s="1"/>
  <c r="H2137" i="1" a="1"/>
  <c r="H2137" i="1" s="1"/>
  <c r="G2137" i="1" a="1"/>
  <c r="G2137" i="1" s="1"/>
  <c r="F2137" i="1" a="1"/>
  <c r="F2137" i="1" s="1"/>
  <c r="K2136" i="1" a="1"/>
  <c r="K2136" i="1" s="1"/>
  <c r="J2136" i="1" a="1"/>
  <c r="J2136" i="1" s="1"/>
  <c r="I2136" i="1" a="1"/>
  <c r="I2136" i="1" s="1"/>
  <c r="H2136" i="1" a="1"/>
  <c r="H2136" i="1" s="1"/>
  <c r="G2136" i="1" a="1"/>
  <c r="G2136" i="1" s="1"/>
  <c r="F2136" i="1" a="1"/>
  <c r="F2136" i="1" s="1"/>
  <c r="K2135" i="1" a="1"/>
  <c r="K2135" i="1" s="1"/>
  <c r="J2135" i="1" a="1"/>
  <c r="J2135" i="1" s="1"/>
  <c r="I2135" i="1" a="1"/>
  <c r="I2135" i="1" s="1"/>
  <c r="H2135" i="1" a="1"/>
  <c r="H2135" i="1" s="1"/>
  <c r="G2135" i="1" a="1"/>
  <c r="G2135" i="1" s="1"/>
  <c r="F2135" i="1" a="1"/>
  <c r="F2135" i="1" s="1"/>
  <c r="K2134" i="1" a="1"/>
  <c r="K2134" i="1" s="1"/>
  <c r="J2134" i="1" a="1"/>
  <c r="J2134" i="1" s="1"/>
  <c r="I2134" i="1" a="1"/>
  <c r="I2134" i="1" s="1"/>
  <c r="H2134" i="1" a="1"/>
  <c r="H2134" i="1" s="1"/>
  <c r="G2134" i="1" a="1"/>
  <c r="G2134" i="1" s="1"/>
  <c r="F2134" i="1" a="1"/>
  <c r="F2134" i="1" s="1"/>
  <c r="K2133" i="1" a="1"/>
  <c r="K2133" i="1" s="1"/>
  <c r="J2133" i="1" a="1"/>
  <c r="J2133" i="1" s="1"/>
  <c r="I2133" i="1" a="1"/>
  <c r="I2133" i="1" s="1"/>
  <c r="H2133" i="1" a="1"/>
  <c r="H2133" i="1" s="1"/>
  <c r="G2133" i="1" a="1"/>
  <c r="G2133" i="1" s="1"/>
  <c r="F2133" i="1" a="1"/>
  <c r="F2133" i="1" s="1"/>
  <c r="K2132" i="1" a="1"/>
  <c r="K2132" i="1" s="1"/>
  <c r="J2132" i="1" a="1"/>
  <c r="J2132" i="1" s="1"/>
  <c r="I2132" i="1" a="1"/>
  <c r="I2132" i="1" s="1"/>
  <c r="H2132" i="1" a="1"/>
  <c r="H2132" i="1" s="1"/>
  <c r="G2132" i="1" a="1"/>
  <c r="G2132" i="1" s="1"/>
  <c r="F2132" i="1" a="1"/>
  <c r="F2132" i="1" s="1"/>
  <c r="K2131" i="1" a="1"/>
  <c r="K2131" i="1" s="1"/>
  <c r="J2131" i="1" a="1"/>
  <c r="J2131" i="1" s="1"/>
  <c r="I2131" i="1" a="1"/>
  <c r="I2131" i="1" s="1"/>
  <c r="H2131" i="1" a="1"/>
  <c r="H2131" i="1" s="1"/>
  <c r="G2131" i="1" a="1"/>
  <c r="G2131" i="1" s="1"/>
  <c r="F2131" i="1" a="1"/>
  <c r="F2131" i="1" s="1"/>
  <c r="K2130" i="1" a="1"/>
  <c r="K2130" i="1" s="1"/>
  <c r="J2130" i="1" a="1"/>
  <c r="J2130" i="1" s="1"/>
  <c r="I2130" i="1" a="1"/>
  <c r="I2130" i="1" s="1"/>
  <c r="H2130" i="1" a="1"/>
  <c r="H2130" i="1" s="1"/>
  <c r="G2130" i="1" a="1"/>
  <c r="G2130" i="1" s="1"/>
  <c r="F2130" i="1" a="1"/>
  <c r="F2130" i="1" s="1"/>
  <c r="K2129" i="1" a="1"/>
  <c r="K2129" i="1" s="1"/>
  <c r="J2129" i="1" a="1"/>
  <c r="J2129" i="1" s="1"/>
  <c r="I2129" i="1" a="1"/>
  <c r="I2129" i="1" s="1"/>
  <c r="H2129" i="1" a="1"/>
  <c r="H2129" i="1" s="1"/>
  <c r="G2129" i="1" a="1"/>
  <c r="G2129" i="1" s="1"/>
  <c r="F2129" i="1" a="1"/>
  <c r="F2129" i="1" s="1"/>
  <c r="K2128" i="1" a="1"/>
  <c r="K2128" i="1" s="1"/>
  <c r="J2128" i="1" a="1"/>
  <c r="J2128" i="1" s="1"/>
  <c r="I2128" i="1" a="1"/>
  <c r="I2128" i="1" s="1"/>
  <c r="H2128" i="1" a="1"/>
  <c r="H2128" i="1" s="1"/>
  <c r="G2128" i="1" a="1"/>
  <c r="G2128" i="1" s="1"/>
  <c r="F2128" i="1" a="1"/>
  <c r="F2128" i="1" s="1"/>
  <c r="K2127" i="1" a="1"/>
  <c r="K2127" i="1" s="1"/>
  <c r="J2127" i="1" a="1"/>
  <c r="J2127" i="1" s="1"/>
  <c r="I2127" i="1" a="1"/>
  <c r="I2127" i="1" s="1"/>
  <c r="H2127" i="1" a="1"/>
  <c r="H2127" i="1" s="1"/>
  <c r="G2127" i="1" a="1"/>
  <c r="G2127" i="1" s="1"/>
  <c r="F2127" i="1" a="1"/>
  <c r="F2127" i="1" s="1"/>
  <c r="K2126" i="1" a="1"/>
  <c r="K2126" i="1" s="1"/>
  <c r="J2126" i="1" a="1"/>
  <c r="J2126" i="1" s="1"/>
  <c r="I2126" i="1" a="1"/>
  <c r="I2126" i="1" s="1"/>
  <c r="H2126" i="1" a="1"/>
  <c r="H2126" i="1" s="1"/>
  <c r="G2126" i="1" a="1"/>
  <c r="G2126" i="1" s="1"/>
  <c r="F2126" i="1" a="1"/>
  <c r="F2126" i="1" s="1"/>
  <c r="K2125" i="1" a="1"/>
  <c r="K2125" i="1" s="1"/>
  <c r="J2125" i="1" a="1"/>
  <c r="J2125" i="1" s="1"/>
  <c r="I2125" i="1" a="1"/>
  <c r="I2125" i="1" s="1"/>
  <c r="H2125" i="1" a="1"/>
  <c r="H2125" i="1" s="1"/>
  <c r="G2125" i="1" a="1"/>
  <c r="G2125" i="1" s="1"/>
  <c r="F2125" i="1" a="1"/>
  <c r="F2125" i="1" s="1"/>
  <c r="K2124" i="1" a="1"/>
  <c r="K2124" i="1" s="1"/>
  <c r="J2124" i="1" a="1"/>
  <c r="J2124" i="1" s="1"/>
  <c r="I2124" i="1" a="1"/>
  <c r="I2124" i="1" s="1"/>
  <c r="H2124" i="1" a="1"/>
  <c r="H2124" i="1" s="1"/>
  <c r="G2124" i="1" a="1"/>
  <c r="G2124" i="1" s="1"/>
  <c r="F2124" i="1" a="1"/>
  <c r="F2124" i="1" s="1"/>
  <c r="K2123" i="1" a="1"/>
  <c r="K2123" i="1" s="1"/>
  <c r="J2123" i="1" a="1"/>
  <c r="J2123" i="1" s="1"/>
  <c r="I2123" i="1" a="1"/>
  <c r="I2123" i="1" s="1"/>
  <c r="H2123" i="1" a="1"/>
  <c r="H2123" i="1" s="1"/>
  <c r="G2123" i="1" a="1"/>
  <c r="G2123" i="1" s="1"/>
  <c r="F2123" i="1" a="1"/>
  <c r="F2123" i="1" s="1"/>
  <c r="K2122" i="1" a="1"/>
  <c r="K2122" i="1" s="1"/>
  <c r="J2122" i="1" a="1"/>
  <c r="J2122" i="1" s="1"/>
  <c r="I2122" i="1" a="1"/>
  <c r="I2122" i="1" s="1"/>
  <c r="H2122" i="1" a="1"/>
  <c r="H2122" i="1" s="1"/>
  <c r="G2122" i="1" a="1"/>
  <c r="G2122" i="1" s="1"/>
  <c r="F2122" i="1" a="1"/>
  <c r="F2122" i="1" s="1"/>
  <c r="K2121" i="1" a="1"/>
  <c r="K2121" i="1" s="1"/>
  <c r="J2121" i="1" a="1"/>
  <c r="J2121" i="1" s="1"/>
  <c r="I2121" i="1" a="1"/>
  <c r="I2121" i="1" s="1"/>
  <c r="H2121" i="1" a="1"/>
  <c r="H2121" i="1" s="1"/>
  <c r="G2121" i="1" a="1"/>
  <c r="G2121" i="1" s="1"/>
  <c r="F2121" i="1" a="1"/>
  <c r="F2121" i="1" s="1"/>
  <c r="K2120" i="1" a="1"/>
  <c r="K2120" i="1" s="1"/>
  <c r="J2120" i="1" a="1"/>
  <c r="J2120" i="1" s="1"/>
  <c r="I2120" i="1" a="1"/>
  <c r="I2120" i="1" s="1"/>
  <c r="H2120" i="1" a="1"/>
  <c r="H2120" i="1" s="1"/>
  <c r="G2120" i="1" a="1"/>
  <c r="G2120" i="1" s="1"/>
  <c r="F2120" i="1" a="1"/>
  <c r="F2120" i="1" s="1"/>
  <c r="K2119" i="1" a="1"/>
  <c r="K2119" i="1" s="1"/>
  <c r="J2119" i="1" a="1"/>
  <c r="J2119" i="1" s="1"/>
  <c r="I2119" i="1" a="1"/>
  <c r="I2119" i="1" s="1"/>
  <c r="H2119" i="1" a="1"/>
  <c r="H2119" i="1" s="1"/>
  <c r="G2119" i="1" a="1"/>
  <c r="G2119" i="1" s="1"/>
  <c r="F2119" i="1" a="1"/>
  <c r="F2119" i="1" s="1"/>
  <c r="K2118" i="1" a="1"/>
  <c r="K2118" i="1" s="1"/>
  <c r="J2118" i="1" a="1"/>
  <c r="J2118" i="1" s="1"/>
  <c r="I2118" i="1" a="1"/>
  <c r="I2118" i="1" s="1"/>
  <c r="H2118" i="1" a="1"/>
  <c r="H2118" i="1" s="1"/>
  <c r="G2118" i="1" a="1"/>
  <c r="G2118" i="1" s="1"/>
  <c r="F2118" i="1" a="1"/>
  <c r="F2118" i="1" s="1"/>
  <c r="K2117" i="1" a="1"/>
  <c r="K2117" i="1" s="1"/>
  <c r="J2117" i="1" a="1"/>
  <c r="J2117" i="1" s="1"/>
  <c r="I2117" i="1" a="1"/>
  <c r="I2117" i="1" s="1"/>
  <c r="H2117" i="1" a="1"/>
  <c r="H2117" i="1" s="1"/>
  <c r="G2117" i="1" a="1"/>
  <c r="G2117" i="1" s="1"/>
  <c r="F2117" i="1" a="1"/>
  <c r="F2117" i="1" s="1"/>
  <c r="K2116" i="1" a="1"/>
  <c r="K2116" i="1" s="1"/>
  <c r="J2116" i="1" a="1"/>
  <c r="J2116" i="1" s="1"/>
  <c r="I2116" i="1" a="1"/>
  <c r="I2116" i="1" s="1"/>
  <c r="H2116" i="1" a="1"/>
  <c r="H2116" i="1" s="1"/>
  <c r="G2116" i="1" a="1"/>
  <c r="G2116" i="1" s="1"/>
  <c r="F2116" i="1" a="1"/>
  <c r="F2116" i="1" s="1"/>
  <c r="K2115" i="1" a="1"/>
  <c r="K2115" i="1" s="1"/>
  <c r="J2115" i="1" a="1"/>
  <c r="J2115" i="1" s="1"/>
  <c r="I2115" i="1" a="1"/>
  <c r="I2115" i="1" s="1"/>
  <c r="H2115" i="1" a="1"/>
  <c r="H2115" i="1" s="1"/>
  <c r="G2115" i="1" a="1"/>
  <c r="G2115" i="1" s="1"/>
  <c r="F2115" i="1" a="1"/>
  <c r="F2115" i="1" s="1"/>
  <c r="K2114" i="1" a="1"/>
  <c r="K2114" i="1" s="1"/>
  <c r="J2114" i="1" a="1"/>
  <c r="J2114" i="1" s="1"/>
  <c r="I2114" i="1" a="1"/>
  <c r="I2114" i="1" s="1"/>
  <c r="H2114" i="1" a="1"/>
  <c r="H2114" i="1" s="1"/>
  <c r="G2114" i="1" a="1"/>
  <c r="G2114" i="1" s="1"/>
  <c r="F2114" i="1" a="1"/>
  <c r="F2114" i="1" s="1"/>
  <c r="K2113" i="1" a="1"/>
  <c r="K2113" i="1" s="1"/>
  <c r="J2113" i="1" a="1"/>
  <c r="J2113" i="1" s="1"/>
  <c r="I2113" i="1" a="1"/>
  <c r="I2113" i="1" s="1"/>
  <c r="H2113" i="1" a="1"/>
  <c r="H2113" i="1" s="1"/>
  <c r="G2113" i="1" a="1"/>
  <c r="G2113" i="1" s="1"/>
  <c r="F2113" i="1" a="1"/>
  <c r="F2113" i="1" s="1"/>
  <c r="K2112" i="1" a="1"/>
  <c r="K2112" i="1" s="1"/>
  <c r="J2112" i="1" a="1"/>
  <c r="J2112" i="1" s="1"/>
  <c r="I2112" i="1" a="1"/>
  <c r="I2112" i="1" s="1"/>
  <c r="H2112" i="1" a="1"/>
  <c r="H2112" i="1" s="1"/>
  <c r="G2112" i="1" a="1"/>
  <c r="G2112" i="1" s="1"/>
  <c r="F2112" i="1" a="1"/>
  <c r="F2112" i="1" s="1"/>
  <c r="K2111" i="1" a="1"/>
  <c r="K2111" i="1" s="1"/>
  <c r="J2111" i="1" a="1"/>
  <c r="J2111" i="1" s="1"/>
  <c r="I2111" i="1" a="1"/>
  <c r="I2111" i="1" s="1"/>
  <c r="H2111" i="1" a="1"/>
  <c r="H2111" i="1" s="1"/>
  <c r="G2111" i="1" a="1"/>
  <c r="G2111" i="1" s="1"/>
  <c r="F2111" i="1" a="1"/>
  <c r="F2111" i="1" s="1"/>
  <c r="K2110" i="1" a="1"/>
  <c r="K2110" i="1" s="1"/>
  <c r="J2110" i="1" a="1"/>
  <c r="J2110" i="1" s="1"/>
  <c r="I2110" i="1" a="1"/>
  <c r="I2110" i="1" s="1"/>
  <c r="H2110" i="1" a="1"/>
  <c r="H2110" i="1" s="1"/>
  <c r="G2110" i="1" a="1"/>
  <c r="G2110" i="1" s="1"/>
  <c r="F2110" i="1" a="1"/>
  <c r="F2110" i="1" s="1"/>
  <c r="K2108" i="1"/>
  <c r="J2108" i="1"/>
  <c r="I2108" i="1"/>
  <c r="H2108" i="1"/>
  <c r="G2108" i="1"/>
  <c r="F2108" i="1"/>
  <c r="K2107" i="1"/>
  <c r="J2107" i="1"/>
  <c r="I2107" i="1"/>
  <c r="H2107" i="1"/>
  <c r="G2107" i="1"/>
  <c r="F2107" i="1"/>
  <c r="K2106" i="1"/>
  <c r="J2106" i="1"/>
  <c r="I2106" i="1"/>
  <c r="H2106" i="1"/>
  <c r="G2106" i="1"/>
  <c r="F2106" i="1"/>
  <c r="K2105" i="1"/>
  <c r="J2105" i="1"/>
  <c r="I2105" i="1"/>
  <c r="H2105" i="1"/>
  <c r="G2105" i="1"/>
  <c r="F2105" i="1"/>
  <c r="K2104" i="1"/>
  <c r="J2104" i="1"/>
  <c r="I2104" i="1"/>
  <c r="H2104" i="1"/>
  <c r="G2104" i="1"/>
  <c r="F2104" i="1"/>
  <c r="K2103" i="1"/>
  <c r="J2103" i="1"/>
  <c r="I2103" i="1"/>
  <c r="H2103" i="1"/>
  <c r="G2103" i="1"/>
  <c r="F2103" i="1"/>
  <c r="K2102" i="1"/>
  <c r="K2101" i="1" s="1"/>
  <c r="J2102" i="1"/>
  <c r="J2101" i="1" s="1"/>
  <c r="I2102" i="1"/>
  <c r="I2101" i="1" s="1"/>
  <c r="H2102" i="1"/>
  <c r="H2101" i="1" s="1"/>
  <c r="G2102" i="1"/>
  <c r="G2101" i="1" s="1"/>
  <c r="F2102" i="1"/>
  <c r="F2101" i="1" s="1"/>
  <c r="K2100" i="1"/>
  <c r="J2100" i="1"/>
  <c r="I2100" i="1"/>
  <c r="H2100" i="1"/>
  <c r="G2100" i="1"/>
  <c r="F2100" i="1"/>
  <c r="K2099" i="1"/>
  <c r="J2099" i="1"/>
  <c r="I2099" i="1"/>
  <c r="H2099" i="1"/>
  <c r="G2099" i="1"/>
  <c r="F2099" i="1"/>
  <c r="K2098" i="1"/>
  <c r="K2097" i="1" s="1"/>
  <c r="J2098" i="1"/>
  <c r="J2097" i="1" s="1"/>
  <c r="I2098" i="1"/>
  <c r="I2097" i="1" s="1"/>
  <c r="H2098" i="1"/>
  <c r="H2097" i="1" s="1"/>
  <c r="G2098" i="1"/>
  <c r="G2097" i="1" s="1"/>
  <c r="F2098" i="1"/>
  <c r="F2097" i="1" s="1"/>
  <c r="K2095" i="1"/>
  <c r="K2096" i="1" s="1"/>
  <c r="J2095" i="1"/>
  <c r="J2096" i="1" s="1"/>
  <c r="I2095" i="1"/>
  <c r="I2096" i="1" s="1"/>
  <c r="H2095" i="1"/>
  <c r="H2096" i="1" s="1"/>
  <c r="G2095" i="1"/>
  <c r="G2096" i="1" s="1"/>
  <c r="F2095" i="1"/>
  <c r="F2096" i="1" s="1"/>
  <c r="K2094" i="1"/>
  <c r="J2094" i="1"/>
  <c r="I2094" i="1"/>
  <c r="H2094" i="1"/>
  <c r="G2094" i="1"/>
  <c r="F2094" i="1"/>
  <c r="K2093" i="1"/>
  <c r="J2093" i="1"/>
  <c r="I2093" i="1"/>
  <c r="H2093" i="1"/>
  <c r="G2093" i="1"/>
  <c r="F2093" i="1"/>
  <c r="K2092" i="1"/>
  <c r="J2092" i="1"/>
  <c r="I2092" i="1"/>
  <c r="H2092" i="1"/>
  <c r="G2092" i="1"/>
  <c r="F2092" i="1"/>
  <c r="K2091" i="1"/>
  <c r="J2091" i="1"/>
  <c r="I2091" i="1"/>
  <c r="H2091" i="1"/>
  <c r="G2091" i="1"/>
  <c r="F2091" i="1"/>
  <c r="K2090" i="1"/>
  <c r="J2090" i="1"/>
  <c r="I2090" i="1"/>
  <c r="H2090" i="1"/>
  <c r="G2090" i="1"/>
  <c r="F2090" i="1"/>
  <c r="K2088" i="1"/>
  <c r="K2087" i="1" s="1"/>
  <c r="J2088" i="1"/>
  <c r="J2087" i="1" s="1"/>
  <c r="I2088" i="1"/>
  <c r="I2087" i="1" s="1"/>
  <c r="H2088" i="1"/>
  <c r="H2087" i="1" s="1"/>
  <c r="G2088" i="1"/>
  <c r="G2087" i="1" s="1"/>
  <c r="F2088" i="1"/>
  <c r="F2087" i="1" s="1"/>
  <c r="K2086" i="1"/>
  <c r="J2086" i="1"/>
  <c r="I2086" i="1"/>
  <c r="H2086" i="1"/>
  <c r="G2086" i="1"/>
  <c r="F2086" i="1"/>
  <c r="K2085" i="1"/>
  <c r="J2085" i="1"/>
  <c r="I2085" i="1"/>
  <c r="H2085" i="1"/>
  <c r="G2085" i="1"/>
  <c r="F2085" i="1"/>
  <c r="K2084" i="1"/>
  <c r="J2084" i="1"/>
  <c r="I2084" i="1"/>
  <c r="H2084" i="1"/>
  <c r="G2084" i="1"/>
  <c r="F2084" i="1"/>
  <c r="K2083" i="1"/>
  <c r="J2083" i="1"/>
  <c r="I2083" i="1"/>
  <c r="H2083" i="1"/>
  <c r="G2083" i="1"/>
  <c r="F2083" i="1"/>
  <c r="K2082" i="1"/>
  <c r="J2082" i="1"/>
  <c r="I2082" i="1"/>
  <c r="H2082" i="1"/>
  <c r="G2082" i="1"/>
  <c r="F2082" i="1"/>
  <c r="K2081" i="1"/>
  <c r="J2081" i="1"/>
  <c r="I2081" i="1"/>
  <c r="H2081" i="1"/>
  <c r="G2081" i="1"/>
  <c r="F2081" i="1"/>
  <c r="K2080" i="1"/>
  <c r="K2079" i="1" s="1"/>
  <c r="J2080" i="1"/>
  <c r="J2079" i="1" s="1"/>
  <c r="I2080" i="1"/>
  <c r="I2079" i="1" s="1"/>
  <c r="H2080" i="1"/>
  <c r="H2079" i="1" s="1"/>
  <c r="G2080" i="1"/>
  <c r="G2079" i="1" s="1"/>
  <c r="F2080" i="1"/>
  <c r="F2079" i="1" s="1"/>
  <c r="K2078" i="1"/>
  <c r="J2078" i="1"/>
  <c r="I2078" i="1"/>
  <c r="H2078" i="1"/>
  <c r="G2078" i="1"/>
  <c r="F2078" i="1"/>
  <c r="K2077" i="1"/>
  <c r="J2077" i="1"/>
  <c r="I2077" i="1"/>
  <c r="H2077" i="1"/>
  <c r="G2077" i="1"/>
  <c r="F2077" i="1"/>
  <c r="K2076" i="1"/>
  <c r="J2076" i="1"/>
  <c r="I2076" i="1"/>
  <c r="H2076" i="1"/>
  <c r="G2076" i="1"/>
  <c r="F2076" i="1"/>
  <c r="K2075" i="1"/>
  <c r="J2075" i="1"/>
  <c r="I2075" i="1"/>
  <c r="H2075" i="1"/>
  <c r="G2075" i="1"/>
  <c r="F2075" i="1"/>
  <c r="K2074" i="1"/>
  <c r="J2074" i="1"/>
  <c r="I2074" i="1"/>
  <c r="H2074" i="1"/>
  <c r="G2074" i="1"/>
  <c r="F2074" i="1"/>
  <c r="K2073" i="1"/>
  <c r="K2072" i="1" s="1"/>
  <c r="J2073" i="1"/>
  <c r="J2072" i="1" s="1"/>
  <c r="I2073" i="1"/>
  <c r="I2072" i="1" s="1"/>
  <c r="H2073" i="1"/>
  <c r="H2072" i="1" s="1"/>
  <c r="G2073" i="1"/>
  <c r="G2072" i="1" s="1"/>
  <c r="F2073" i="1"/>
  <c r="F2072" i="1" s="1"/>
  <c r="K2071" i="1"/>
  <c r="J2071" i="1"/>
  <c r="I2071" i="1"/>
  <c r="H2071" i="1"/>
  <c r="G2071" i="1"/>
  <c r="F2071" i="1"/>
  <c r="K2070" i="1"/>
  <c r="J2070" i="1"/>
  <c r="I2070" i="1"/>
  <c r="H2070" i="1"/>
  <c r="G2070" i="1"/>
  <c r="F2070" i="1"/>
  <c r="K2069" i="1"/>
  <c r="J2069" i="1"/>
  <c r="I2069" i="1"/>
  <c r="H2069" i="1"/>
  <c r="G2069" i="1"/>
  <c r="F2069" i="1"/>
  <c r="K2068" i="1"/>
  <c r="J2068" i="1"/>
  <c r="I2068" i="1"/>
  <c r="H2068" i="1"/>
  <c r="G2068" i="1"/>
  <c r="F2068" i="1"/>
  <c r="K2067" i="1"/>
  <c r="J2067" i="1"/>
  <c r="I2067" i="1"/>
  <c r="H2067" i="1"/>
  <c r="G2067" i="1"/>
  <c r="F2067" i="1"/>
  <c r="K2066" i="1"/>
  <c r="J2066" i="1"/>
  <c r="I2066" i="1"/>
  <c r="H2066" i="1"/>
  <c r="G2066" i="1"/>
  <c r="F2066" i="1"/>
  <c r="K2065" i="1"/>
  <c r="J2065" i="1"/>
  <c r="I2065" i="1"/>
  <c r="H2065" i="1"/>
  <c r="G2065" i="1"/>
  <c r="F2065" i="1"/>
  <c r="K2064" i="1"/>
  <c r="J2064" i="1"/>
  <c r="I2064" i="1"/>
  <c r="H2064" i="1"/>
  <c r="G2064" i="1"/>
  <c r="F2064" i="1"/>
  <c r="K2063" i="1"/>
  <c r="J2063" i="1"/>
  <c r="I2063" i="1"/>
  <c r="H2063" i="1"/>
  <c r="G2063" i="1"/>
  <c r="F2063" i="1"/>
  <c r="K2062" i="1"/>
  <c r="J2062" i="1"/>
  <c r="I2062" i="1"/>
  <c r="H2062" i="1"/>
  <c r="G2062" i="1"/>
  <c r="F2062" i="1"/>
  <c r="K2061" i="1"/>
  <c r="J2061" i="1"/>
  <c r="I2061" i="1"/>
  <c r="H2061" i="1"/>
  <c r="G2061" i="1"/>
  <c r="F2061" i="1"/>
  <c r="K2060" i="1"/>
  <c r="J2060" i="1"/>
  <c r="I2060" i="1"/>
  <c r="H2060" i="1"/>
  <c r="G2060" i="1"/>
  <c r="F2060" i="1"/>
  <c r="K2059" i="1"/>
  <c r="J2059" i="1"/>
  <c r="I2059" i="1"/>
  <c r="H2059" i="1"/>
  <c r="G2059" i="1"/>
  <c r="F2059" i="1"/>
  <c r="K2058" i="1"/>
  <c r="J2058" i="1"/>
  <c r="I2058" i="1"/>
  <c r="H2058" i="1"/>
  <c r="G2058" i="1"/>
  <c r="F2058" i="1"/>
  <c r="K2057" i="1"/>
  <c r="K2056" i="1" s="1"/>
  <c r="J2057" i="1"/>
  <c r="J2056" i="1" s="1"/>
  <c r="I2057" i="1"/>
  <c r="I2056" i="1" s="1"/>
  <c r="H2057" i="1"/>
  <c r="H2056" i="1" s="1"/>
  <c r="G2057" i="1"/>
  <c r="G2056" i="1" s="1"/>
  <c r="F2057" i="1"/>
  <c r="F2056" i="1" s="1"/>
  <c r="K2055" i="1"/>
  <c r="J2055" i="1"/>
  <c r="I2055" i="1"/>
  <c r="H2055" i="1"/>
  <c r="G2055" i="1"/>
  <c r="F2055" i="1"/>
  <c r="K2054" i="1"/>
  <c r="J2054" i="1"/>
  <c r="I2054" i="1"/>
  <c r="H2054" i="1"/>
  <c r="G2054" i="1"/>
  <c r="F2054" i="1"/>
  <c r="K2053" i="1"/>
  <c r="K2052" i="1" s="1"/>
  <c r="J2053" i="1"/>
  <c r="J2052" i="1" s="1"/>
  <c r="I2053" i="1"/>
  <c r="I2052" i="1" s="1"/>
  <c r="H2053" i="1"/>
  <c r="H2052" i="1" s="1"/>
  <c r="G2053" i="1"/>
  <c r="G2052" i="1" s="1"/>
  <c r="F2053" i="1"/>
  <c r="F2052" i="1" s="1"/>
  <c r="K2051" i="1"/>
  <c r="J2051" i="1"/>
  <c r="I2051" i="1"/>
  <c r="H2051" i="1"/>
  <c r="G2051" i="1"/>
  <c r="F2051" i="1"/>
  <c r="K2050" i="1"/>
  <c r="J2050" i="1"/>
  <c r="I2050" i="1"/>
  <c r="H2050" i="1"/>
  <c r="G2050" i="1"/>
  <c r="F2050" i="1"/>
  <c r="K2049" i="1"/>
  <c r="K2048" i="1" s="1"/>
  <c r="J2049" i="1"/>
  <c r="J2048" i="1" s="1"/>
  <c r="I2049" i="1"/>
  <c r="I2048" i="1" s="1"/>
  <c r="H2049" i="1"/>
  <c r="H2048" i="1" s="1"/>
  <c r="G2049" i="1"/>
  <c r="G2048" i="1" s="1"/>
  <c r="F2049" i="1"/>
  <c r="F2048" i="1" s="1"/>
  <c r="K2047" i="1"/>
  <c r="K2046" i="1" s="1"/>
  <c r="J2047" i="1"/>
  <c r="J2046" i="1" s="1"/>
  <c r="I2047" i="1"/>
  <c r="I2046" i="1" s="1"/>
  <c r="H2047" i="1"/>
  <c r="H2046" i="1" s="1"/>
  <c r="G2047" i="1"/>
  <c r="G2046" i="1" s="1"/>
  <c r="F2047" i="1"/>
  <c r="F2046" i="1" s="1"/>
  <c r="E2230" i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229" i="1"/>
  <c r="E2110" i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046" i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C2045" i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B2045" i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K1817" i="1"/>
  <c r="J1817" i="1"/>
  <c r="I1817" i="1"/>
  <c r="H1817" i="1"/>
  <c r="G1817" i="1"/>
  <c r="F1817" i="1"/>
  <c r="K1816" i="1"/>
  <c r="J1816" i="1"/>
  <c r="I1816" i="1"/>
  <c r="H1816" i="1"/>
  <c r="G1816" i="1"/>
  <c r="F1816" i="1"/>
  <c r="K1815" i="1"/>
  <c r="J1815" i="1"/>
  <c r="I1815" i="1"/>
  <c r="H1815" i="1"/>
  <c r="G1815" i="1"/>
  <c r="F1815" i="1"/>
  <c r="K1814" i="1"/>
  <c r="J1814" i="1"/>
  <c r="I1814" i="1"/>
  <c r="H1814" i="1"/>
  <c r="G1814" i="1"/>
  <c r="F1814" i="1"/>
  <c r="K1813" i="1"/>
  <c r="J1813" i="1"/>
  <c r="I1813" i="1"/>
  <c r="H1813" i="1"/>
  <c r="G1813" i="1"/>
  <c r="F1813" i="1"/>
  <c r="K1812" i="1"/>
  <c r="J1812" i="1"/>
  <c r="I1812" i="1"/>
  <c r="H1812" i="1"/>
  <c r="G1812" i="1"/>
  <c r="F1812" i="1"/>
  <c r="K1811" i="1"/>
  <c r="J1811" i="1"/>
  <c r="I1811" i="1"/>
  <c r="H1811" i="1"/>
  <c r="G1811" i="1"/>
  <c r="F1811" i="1"/>
  <c r="K1809" i="1"/>
  <c r="J1809" i="1"/>
  <c r="I1809" i="1"/>
  <c r="H1809" i="1"/>
  <c r="G1809" i="1"/>
  <c r="F1809" i="1"/>
  <c r="K1808" i="1"/>
  <c r="J1808" i="1"/>
  <c r="I1808" i="1"/>
  <c r="H1808" i="1"/>
  <c r="G1808" i="1"/>
  <c r="F1808" i="1"/>
  <c r="K1807" i="1"/>
  <c r="J1807" i="1"/>
  <c r="I1807" i="1"/>
  <c r="H1807" i="1"/>
  <c r="G1807" i="1"/>
  <c r="F1807" i="1"/>
  <c r="K1804" i="1"/>
  <c r="J1804" i="1"/>
  <c r="I1804" i="1"/>
  <c r="H1804" i="1"/>
  <c r="G1804" i="1"/>
  <c r="F1804" i="1"/>
  <c r="K1803" i="1"/>
  <c r="J1803" i="1"/>
  <c r="I1803" i="1"/>
  <c r="H1803" i="1"/>
  <c r="G1803" i="1"/>
  <c r="F1803" i="1"/>
  <c r="K1802" i="1"/>
  <c r="J1802" i="1"/>
  <c r="I1802" i="1"/>
  <c r="H1802" i="1"/>
  <c r="G1802" i="1"/>
  <c r="F1802" i="1"/>
  <c r="K1801" i="1"/>
  <c r="J1801" i="1"/>
  <c r="I1801" i="1"/>
  <c r="H1801" i="1"/>
  <c r="G1801" i="1"/>
  <c r="F1801" i="1"/>
  <c r="K1800" i="1"/>
  <c r="J1800" i="1"/>
  <c r="I1800" i="1"/>
  <c r="H1800" i="1"/>
  <c r="G1800" i="1"/>
  <c r="F1800" i="1"/>
  <c r="K1799" i="1"/>
  <c r="J1799" i="1"/>
  <c r="I1799" i="1"/>
  <c r="H1799" i="1"/>
  <c r="G1799" i="1"/>
  <c r="F1799" i="1"/>
  <c r="K1797" i="1"/>
  <c r="J1797" i="1"/>
  <c r="I1797" i="1"/>
  <c r="H1797" i="1"/>
  <c r="G1797" i="1"/>
  <c r="F1797" i="1"/>
  <c r="K1795" i="1"/>
  <c r="J1795" i="1"/>
  <c r="I1795" i="1"/>
  <c r="H1795" i="1"/>
  <c r="G1795" i="1"/>
  <c r="F1795" i="1"/>
  <c r="K1794" i="1"/>
  <c r="J1794" i="1"/>
  <c r="I1794" i="1"/>
  <c r="H1794" i="1"/>
  <c r="G1794" i="1"/>
  <c r="F1794" i="1"/>
  <c r="K1793" i="1"/>
  <c r="J1793" i="1"/>
  <c r="I1793" i="1"/>
  <c r="H1793" i="1"/>
  <c r="G1793" i="1"/>
  <c r="F1793" i="1"/>
  <c r="K1792" i="1"/>
  <c r="J1792" i="1"/>
  <c r="I1792" i="1"/>
  <c r="H1792" i="1"/>
  <c r="G1792" i="1"/>
  <c r="F1792" i="1"/>
  <c r="K1791" i="1"/>
  <c r="J1791" i="1"/>
  <c r="I1791" i="1"/>
  <c r="H1791" i="1"/>
  <c r="G1791" i="1"/>
  <c r="F1791" i="1"/>
  <c r="K1790" i="1"/>
  <c r="J1790" i="1"/>
  <c r="I1790" i="1"/>
  <c r="H1790" i="1"/>
  <c r="G1790" i="1"/>
  <c r="F1790" i="1"/>
  <c r="K1789" i="1"/>
  <c r="J1789" i="1"/>
  <c r="I1789" i="1"/>
  <c r="H1789" i="1"/>
  <c r="G1789" i="1"/>
  <c r="F1789" i="1"/>
  <c r="K1787" i="1"/>
  <c r="J1787" i="1"/>
  <c r="I1787" i="1"/>
  <c r="H1787" i="1"/>
  <c r="G1787" i="1"/>
  <c r="F1787" i="1"/>
  <c r="K1786" i="1"/>
  <c r="J1786" i="1"/>
  <c r="I1786" i="1"/>
  <c r="H1786" i="1"/>
  <c r="G1786" i="1"/>
  <c r="F1786" i="1"/>
  <c r="K1785" i="1"/>
  <c r="J1785" i="1"/>
  <c r="I1785" i="1"/>
  <c r="H1785" i="1"/>
  <c r="G1785" i="1"/>
  <c r="F1785" i="1"/>
  <c r="K1784" i="1"/>
  <c r="J1784" i="1"/>
  <c r="I1784" i="1"/>
  <c r="H1784" i="1"/>
  <c r="G1784" i="1"/>
  <c r="F1784" i="1"/>
  <c r="K1783" i="1"/>
  <c r="J1783" i="1"/>
  <c r="I1783" i="1"/>
  <c r="H1783" i="1"/>
  <c r="G1783" i="1"/>
  <c r="F1783" i="1"/>
  <c r="K1782" i="1"/>
  <c r="J1782" i="1"/>
  <c r="I1782" i="1"/>
  <c r="H1782" i="1"/>
  <c r="G1782" i="1"/>
  <c r="F1782" i="1"/>
  <c r="K1780" i="1"/>
  <c r="J1780" i="1"/>
  <c r="I1780" i="1"/>
  <c r="H1780" i="1"/>
  <c r="G1780" i="1"/>
  <c r="F1780" i="1"/>
  <c r="K1779" i="1"/>
  <c r="J1779" i="1"/>
  <c r="I1779" i="1"/>
  <c r="H1779" i="1"/>
  <c r="G1779" i="1"/>
  <c r="F1779" i="1"/>
  <c r="K1778" i="1"/>
  <c r="J1778" i="1"/>
  <c r="I1778" i="1"/>
  <c r="H1778" i="1"/>
  <c r="G1778" i="1"/>
  <c r="F1778" i="1"/>
  <c r="K1777" i="1"/>
  <c r="J1777" i="1"/>
  <c r="I1777" i="1"/>
  <c r="H1777" i="1"/>
  <c r="G1777" i="1"/>
  <c r="F1777" i="1"/>
  <c r="K1776" i="1"/>
  <c r="J1776" i="1"/>
  <c r="I1776" i="1"/>
  <c r="H1776" i="1"/>
  <c r="G1776" i="1"/>
  <c r="F1776" i="1"/>
  <c r="K1775" i="1"/>
  <c r="J1775" i="1"/>
  <c r="I1775" i="1"/>
  <c r="H1775" i="1"/>
  <c r="G1775" i="1"/>
  <c r="F1775" i="1"/>
  <c r="K1774" i="1"/>
  <c r="J1774" i="1"/>
  <c r="I1774" i="1"/>
  <c r="H1774" i="1"/>
  <c r="G1774" i="1"/>
  <c r="F1774" i="1"/>
  <c r="K1773" i="1"/>
  <c r="J1773" i="1"/>
  <c r="I1773" i="1"/>
  <c r="H1773" i="1"/>
  <c r="G1773" i="1"/>
  <c r="F1773" i="1"/>
  <c r="K1772" i="1"/>
  <c r="J1772" i="1"/>
  <c r="I1772" i="1"/>
  <c r="H1772" i="1"/>
  <c r="G1772" i="1"/>
  <c r="F1772" i="1"/>
  <c r="K1771" i="1"/>
  <c r="J1771" i="1"/>
  <c r="I1771" i="1"/>
  <c r="H1771" i="1"/>
  <c r="G1771" i="1"/>
  <c r="F1771" i="1"/>
  <c r="K1770" i="1"/>
  <c r="J1770" i="1"/>
  <c r="I1770" i="1"/>
  <c r="H1770" i="1"/>
  <c r="G1770" i="1"/>
  <c r="F1770" i="1"/>
  <c r="K1769" i="1"/>
  <c r="J1769" i="1"/>
  <c r="I1769" i="1"/>
  <c r="H1769" i="1"/>
  <c r="G1769" i="1"/>
  <c r="F1769" i="1"/>
  <c r="K1768" i="1"/>
  <c r="J1768" i="1"/>
  <c r="I1768" i="1"/>
  <c r="H1768" i="1"/>
  <c r="G1768" i="1"/>
  <c r="F1768" i="1"/>
  <c r="K1767" i="1"/>
  <c r="J1767" i="1"/>
  <c r="I1767" i="1"/>
  <c r="H1767" i="1"/>
  <c r="G1767" i="1"/>
  <c r="F1767" i="1"/>
  <c r="K1766" i="1"/>
  <c r="J1766" i="1"/>
  <c r="I1766" i="1"/>
  <c r="H1766" i="1"/>
  <c r="G1766" i="1"/>
  <c r="F1766" i="1"/>
  <c r="K1764" i="1"/>
  <c r="J1764" i="1"/>
  <c r="I1764" i="1"/>
  <c r="H1764" i="1"/>
  <c r="G1764" i="1"/>
  <c r="F1764" i="1"/>
  <c r="K1763" i="1"/>
  <c r="J1763" i="1"/>
  <c r="I1763" i="1"/>
  <c r="H1763" i="1"/>
  <c r="G1763" i="1"/>
  <c r="F1763" i="1"/>
  <c r="K1762" i="1"/>
  <c r="J1762" i="1"/>
  <c r="I1762" i="1"/>
  <c r="H1762" i="1"/>
  <c r="G1762" i="1"/>
  <c r="F1762" i="1"/>
  <c r="K1760" i="1"/>
  <c r="J1760" i="1"/>
  <c r="I1760" i="1"/>
  <c r="H1760" i="1"/>
  <c r="G1760" i="1"/>
  <c r="F1760" i="1"/>
  <c r="K1759" i="1"/>
  <c r="J1759" i="1"/>
  <c r="I1759" i="1"/>
  <c r="H1759" i="1"/>
  <c r="G1759" i="1"/>
  <c r="F1759" i="1"/>
  <c r="K1758" i="1"/>
  <c r="J1758" i="1"/>
  <c r="I1758" i="1"/>
  <c r="H1758" i="1"/>
  <c r="G1758" i="1"/>
  <c r="F1758" i="1"/>
  <c r="K1756" i="1"/>
  <c r="J1756" i="1"/>
  <c r="I1756" i="1"/>
  <c r="H1756" i="1"/>
  <c r="G1756" i="1"/>
  <c r="F1756" i="1"/>
  <c r="I1688" i="1" a="1"/>
  <c r="I1688" i="1" s="1"/>
  <c r="H1688" i="1" a="1"/>
  <c r="H1688" i="1" s="1"/>
  <c r="F1688" i="1" a="1"/>
  <c r="F1688" i="1" s="1"/>
  <c r="K1688" i="1" a="1"/>
  <c r="K1688" i="1" s="1"/>
  <c r="J1688" i="1" a="1"/>
  <c r="J1688" i="1" s="1"/>
  <c r="G1688" i="1" a="1"/>
  <c r="G1688" i="1" s="1"/>
  <c r="K1700" i="1"/>
  <c r="J1700" i="1"/>
  <c r="K1699" i="1"/>
  <c r="J1699" i="1"/>
  <c r="K1698" i="1"/>
  <c r="J1698" i="1"/>
  <c r="K1696" i="1"/>
  <c r="J1696" i="1"/>
  <c r="I1696" i="1"/>
  <c r="H1696" i="1"/>
  <c r="G1696" i="1"/>
  <c r="F1696" i="1"/>
  <c r="K1695" i="1"/>
  <c r="J1695" i="1"/>
  <c r="I1695" i="1"/>
  <c r="H1695" i="1"/>
  <c r="G1695" i="1"/>
  <c r="F1695" i="1"/>
  <c r="K1694" i="1"/>
  <c r="J1694" i="1"/>
  <c r="I1694" i="1"/>
  <c r="H1694" i="1"/>
  <c r="G1694" i="1"/>
  <c r="F1694" i="1"/>
  <c r="K1693" i="1"/>
  <c r="J1693" i="1"/>
  <c r="I1693" i="1"/>
  <c r="H1693" i="1"/>
  <c r="G1693" i="1"/>
  <c r="F1693" i="1"/>
  <c r="K1692" i="1"/>
  <c r="J1692" i="1"/>
  <c r="I1692" i="1"/>
  <c r="H1692" i="1"/>
  <c r="G1692" i="1"/>
  <c r="F1692" i="1"/>
  <c r="K1691" i="1"/>
  <c r="J1691" i="1"/>
  <c r="I1691" i="1"/>
  <c r="H1691" i="1"/>
  <c r="G1691" i="1"/>
  <c r="F1691" i="1"/>
  <c r="K1690" i="1"/>
  <c r="J1690" i="1"/>
  <c r="I1690" i="1"/>
  <c r="H1690" i="1"/>
  <c r="G1690" i="1"/>
  <c r="F1690" i="1"/>
  <c r="K1689" i="1"/>
  <c r="J1689" i="1"/>
  <c r="I1689" i="1"/>
  <c r="H1689" i="1"/>
  <c r="G1689" i="1"/>
  <c r="F1689" i="1"/>
  <c r="K1686" i="1"/>
  <c r="J1686" i="1"/>
  <c r="I1686" i="1"/>
  <c r="H1686" i="1"/>
  <c r="G1686" i="1"/>
  <c r="F1686" i="1"/>
  <c r="K1685" i="1"/>
  <c r="J1685" i="1"/>
  <c r="I1685" i="1"/>
  <c r="H1685" i="1"/>
  <c r="G1685" i="1"/>
  <c r="F1685" i="1"/>
  <c r="K1684" i="1"/>
  <c r="J1684" i="1"/>
  <c r="I1684" i="1"/>
  <c r="H1684" i="1"/>
  <c r="G1684" i="1"/>
  <c r="F1684" i="1"/>
  <c r="K1149" i="1"/>
  <c r="J1149" i="1"/>
  <c r="I1149" i="1"/>
  <c r="H1149" i="1"/>
  <c r="G1149" i="1"/>
  <c r="F1149" i="1"/>
  <c r="J2016" i="1" a="1"/>
  <c r="J2016" i="1" s="1"/>
  <c r="K2010" i="1" a="1"/>
  <c r="K2010" i="1" s="1"/>
  <c r="J2013" i="1" a="1"/>
  <c r="J2013" i="1" s="1"/>
  <c r="J2011" i="1" a="1"/>
  <c r="J2011" i="1" s="1"/>
  <c r="J2012" i="1" s="1" a="1"/>
  <c r="J2012" i="1" s="1"/>
  <c r="G2010" i="1" a="1"/>
  <c r="G2010" i="1" s="1"/>
  <c r="I2013" i="1" a="1"/>
  <c r="I2013" i="1" s="1"/>
  <c r="I2016" i="1" a="1"/>
  <c r="I2016" i="1" s="1"/>
  <c r="G2011" i="1" a="1"/>
  <c r="G2011" i="1" s="1"/>
  <c r="G2012" i="1" s="1" a="1"/>
  <c r="G2012" i="1" s="1"/>
  <c r="K2016" i="1" a="1"/>
  <c r="K2016" i="1" s="1"/>
  <c r="J2015" i="1" a="1"/>
  <c r="J2015" i="1" s="1"/>
  <c r="H2015" i="1" a="1"/>
  <c r="H2015" i="1" s="1"/>
  <c r="F2011" i="1" a="1"/>
  <c r="F2011" i="1" s="1"/>
  <c r="H2010" i="1" a="1"/>
  <c r="H2010" i="1" s="1"/>
  <c r="J2010" i="1" a="1"/>
  <c r="J2010" i="1" s="1"/>
  <c r="F2010" i="1" a="1"/>
  <c r="F2010" i="1" s="1"/>
  <c r="F2012" i="1" a="1"/>
  <c r="F2012" i="1" s="1"/>
  <c r="K2015" i="1" a="1"/>
  <c r="K2015" i="1" s="1"/>
  <c r="G2015" i="1" a="1"/>
  <c r="G2015" i="1" s="1"/>
  <c r="I2011" i="1" a="1"/>
  <c r="I2011" i="1" s="1"/>
  <c r="I2012" i="1" s="1" a="1"/>
  <c r="I2012" i="1" s="1"/>
  <c r="H2016" i="1" a="1"/>
  <c r="H2016" i="1" s="1"/>
  <c r="F2016" i="1" a="1"/>
  <c r="F2016" i="1" s="1"/>
  <c r="I2014" i="1" a="1"/>
  <c r="I2014" i="1" s="1"/>
  <c r="I2010" i="1" a="1"/>
  <c r="I2010" i="1" s="1"/>
  <c r="J2014" i="1" a="1"/>
  <c r="J2014" i="1" s="1"/>
  <c r="G2016" i="1" a="1"/>
  <c r="G2016" i="1" s="1"/>
  <c r="I2015" i="1" a="1"/>
  <c r="I2015" i="1" s="1"/>
  <c r="G2013" i="1" a="1"/>
  <c r="G2013" i="1" s="1"/>
  <c r="G2014" i="1" s="1" a="1"/>
  <c r="G2014" i="1" s="1"/>
  <c r="F2013" i="1" a="1"/>
  <c r="F2013" i="1" s="1"/>
  <c r="F2014" i="1" s="1" a="1"/>
  <c r="F2014" i="1" s="1"/>
  <c r="F2015" i="1" a="1"/>
  <c r="F2015" i="1" s="1"/>
  <c r="K2013" i="1" a="1"/>
  <c r="K2013" i="1" s="1"/>
  <c r="K2014" i="1" s="1" a="1"/>
  <c r="K2014" i="1" s="1"/>
  <c r="H2013" i="1" a="1"/>
  <c r="H2013" i="1" s="1"/>
  <c r="H2014" i="1" s="1" a="1"/>
  <c r="H2014" i="1" s="1"/>
  <c r="K2011" i="1" a="1"/>
  <c r="K2011" i="1" s="1"/>
  <c r="K2012" i="1" s="1" a="1"/>
  <c r="K2012" i="1" s="1"/>
  <c r="H2011" i="1" a="1"/>
  <c r="H2011" i="1" s="1"/>
  <c r="H2012" i="1" s="1" a="1"/>
  <c r="H2012" i="1" s="1"/>
  <c r="J2006" i="1" a="1"/>
  <c r="J2006" i="1" s="1"/>
  <c r="I2006" i="1" a="1"/>
  <c r="I2006" i="1" s="1"/>
  <c r="G2006" i="1" a="1"/>
  <c r="G2006" i="1" s="1"/>
  <c r="I2005" i="1" a="1"/>
  <c r="I2005" i="1" s="1"/>
  <c r="H2003" i="1" a="1"/>
  <c r="H2003" i="1" s="1"/>
  <c r="H2004" i="1" s="1" a="1"/>
  <c r="H2004" i="1" s="1"/>
  <c r="J2003" i="1" a="1"/>
  <c r="J2003" i="1" s="1"/>
  <c r="J2004" i="1" s="1" a="1"/>
  <c r="J2004" i="1" s="1"/>
  <c r="H2000" i="1" a="1"/>
  <c r="H2000" i="1" s="1"/>
  <c r="F2005" i="1" a="1"/>
  <c r="F2005" i="1" s="1"/>
  <c r="I2008" i="1" a="1"/>
  <c r="I2008" i="1" s="1"/>
  <c r="I2009" i="1" s="1" a="1"/>
  <c r="I2009" i="1" s="1"/>
  <c r="H2006" i="1" a="1"/>
  <c r="H2006" i="1" s="1"/>
  <c r="G2000" i="1" a="1"/>
  <c r="G2000" i="1" s="1"/>
  <c r="G2001" i="1" a="1"/>
  <c r="G2001" i="1" s="1"/>
  <c r="G2002" i="1" s="1" a="1"/>
  <c r="G2002" i="1" s="1"/>
  <c r="H2005" i="1" a="1"/>
  <c r="H2005" i="1" s="1"/>
  <c r="I2000" i="1" a="1"/>
  <c r="I2000" i="1" s="1"/>
  <c r="G2003" i="1" a="1"/>
  <c r="G2003" i="1" s="1"/>
  <c r="G2004" i="1" s="1" a="1"/>
  <c r="G2004" i="1" s="1"/>
  <c r="F2003" i="1" a="1"/>
  <c r="F2003" i="1" s="1"/>
  <c r="F2004" i="1" s="1" a="1"/>
  <c r="F2004" i="1" s="1"/>
  <c r="K2006" i="1" a="1"/>
  <c r="K2006" i="1" s="1"/>
  <c r="G2005" i="1" a="1"/>
  <c r="G2005" i="1" s="1"/>
  <c r="J2008" i="1" a="1"/>
  <c r="J2008" i="1" s="1"/>
  <c r="J2009" i="1" s="1" a="1"/>
  <c r="J2009" i="1" s="1"/>
  <c r="K2003" i="1" a="1"/>
  <c r="K2003" i="1" s="1"/>
  <c r="K2004" i="1" s="1" a="1"/>
  <c r="K2004" i="1" s="1"/>
  <c r="K2008" i="1" a="1"/>
  <c r="K2008" i="1" s="1"/>
  <c r="K2009" i="1" s="1" a="1"/>
  <c r="K2009" i="1" s="1"/>
  <c r="F2006" i="1" a="1"/>
  <c r="F2006" i="1" s="1"/>
  <c r="J2001" i="1" a="1"/>
  <c r="J2001" i="1" s="1"/>
  <c r="J2002" i="1" s="1" a="1"/>
  <c r="J2002" i="1" s="1"/>
  <c r="F2001" i="1" a="1"/>
  <c r="F2001" i="1" s="1"/>
  <c r="F2002" i="1" s="1" a="1"/>
  <c r="F2002" i="1" s="1"/>
  <c r="K2000" i="1" a="1"/>
  <c r="K2000" i="1" s="1"/>
  <c r="K2005" i="1" a="1"/>
  <c r="K2005" i="1" s="1"/>
  <c r="I2003" i="1" a="1"/>
  <c r="I2003" i="1" s="1"/>
  <c r="K2001" i="1" a="1"/>
  <c r="K2001" i="1" s="1"/>
  <c r="K2002" i="1" s="1" a="1"/>
  <c r="K2002" i="1" s="1"/>
  <c r="H2001" i="1" a="1"/>
  <c r="H2001" i="1" s="1"/>
  <c r="H2002" i="1" s="1" a="1"/>
  <c r="H2002" i="1" s="1"/>
  <c r="J2000" i="1" a="1"/>
  <c r="J2000" i="1" s="1"/>
  <c r="I2001" i="1" a="1"/>
  <c r="I2001" i="1" s="1"/>
  <c r="I2002" i="1" s="1" a="1"/>
  <c r="I2002" i="1" s="1"/>
  <c r="I2004" i="1" a="1"/>
  <c r="I2004" i="1" s="1"/>
  <c r="H2008" i="1" a="1"/>
  <c r="H2008" i="1" s="1"/>
  <c r="H2009" i="1" s="1" a="1"/>
  <c r="H2009" i="1" s="1"/>
  <c r="F2000" i="1" a="1"/>
  <c r="F2000" i="1" s="1"/>
  <c r="G2008" i="1" a="1"/>
  <c r="G2008" i="1" s="1"/>
  <c r="G2009" i="1" s="1" a="1"/>
  <c r="G2009" i="1" s="1"/>
  <c r="F2008" i="1" a="1"/>
  <c r="F2008" i="1" s="1"/>
  <c r="F2009" i="1" s="1" a="1"/>
  <c r="F2009" i="1" s="1"/>
  <c r="J2005" i="1" a="1"/>
  <c r="J2005" i="1" s="1"/>
  <c r="G1998" i="1" a="1"/>
  <c r="G1998" i="1" s="1"/>
  <c r="G1999" i="1" s="1" a="1"/>
  <c r="G1999" i="1" s="1"/>
  <c r="G1995" i="1" a="1"/>
  <c r="G1995" i="1" s="1"/>
  <c r="J1996" i="1" a="1"/>
  <c r="J1996" i="1" s="1"/>
  <c r="G1988" i="1" a="1"/>
  <c r="G1988" i="1" s="1"/>
  <c r="J1993" i="1" a="1"/>
  <c r="J1993" i="1" s="1"/>
  <c r="I1993" i="1" a="1"/>
  <c r="I1993" i="1" s="1"/>
  <c r="J1988" i="1" a="1"/>
  <c r="J1988" i="1" s="1"/>
  <c r="H1993" i="1" a="1"/>
  <c r="H1993" i="1" s="1"/>
  <c r="F1991" i="1" a="1"/>
  <c r="F1991" i="1" s="1"/>
  <c r="G1992" i="1" a="1"/>
  <c r="G1992" i="1" s="1"/>
  <c r="F1992" i="1" a="1"/>
  <c r="F1992" i="1" s="1"/>
  <c r="K1990" i="1" a="1"/>
  <c r="K1990" i="1" s="1"/>
  <c r="F1996" i="1" a="1"/>
  <c r="F1996" i="1" s="1"/>
  <c r="K1995" i="1" a="1"/>
  <c r="K1995" i="1" s="1"/>
  <c r="H1995" i="1" a="1"/>
  <c r="H1995" i="1" s="1"/>
  <c r="F1993" i="1" a="1"/>
  <c r="F1993" i="1" s="1"/>
  <c r="J1995" i="1" a="1"/>
  <c r="J1995" i="1" s="1"/>
  <c r="K1994" i="1" a="1"/>
  <c r="K1994" i="1" s="1"/>
  <c r="I1990" i="1" a="1"/>
  <c r="I1990" i="1" s="1"/>
  <c r="G1994" i="1" a="1"/>
  <c r="G1994" i="1" s="1"/>
  <c r="J1991" i="1" a="1"/>
  <c r="J1991" i="1" s="1"/>
  <c r="G1993" i="1" a="1"/>
  <c r="G1993" i="1" s="1"/>
  <c r="K1993" i="1" a="1"/>
  <c r="K1993" i="1" s="1"/>
  <c r="H1992" i="1" a="1"/>
  <c r="H1992" i="1" s="1"/>
  <c r="J1992" i="1" a="1"/>
  <c r="J1992" i="1" s="1"/>
  <c r="H1991" i="1" a="1"/>
  <c r="H1991" i="1" s="1"/>
  <c r="H1989" i="1" a="1"/>
  <c r="H1989" i="1" s="1"/>
  <c r="J1990" i="1" a="1"/>
  <c r="J1990" i="1" s="1"/>
  <c r="H1996" i="1" a="1"/>
  <c r="H1996" i="1" s="1"/>
  <c r="G1991" i="1" a="1"/>
  <c r="G1991" i="1" s="1"/>
  <c r="G1990" i="1" a="1"/>
  <c r="G1990" i="1" s="1"/>
  <c r="I1988" i="1" a="1"/>
  <c r="I1988" i="1" s="1"/>
  <c r="K1996" i="1" a="1"/>
  <c r="K1996" i="1" s="1"/>
  <c r="F1995" i="1" a="1"/>
  <c r="F1995" i="1" s="1"/>
  <c r="K1992" i="1" a="1"/>
  <c r="K1992" i="1" s="1"/>
  <c r="K1998" i="1" a="1"/>
  <c r="K1998" i="1" s="1"/>
  <c r="K1999" i="1" s="1" a="1"/>
  <c r="K1999" i="1" s="1"/>
  <c r="J1998" i="1" a="1"/>
  <c r="J1998" i="1" s="1"/>
  <c r="J1999" i="1" s="1" a="1"/>
  <c r="J1999" i="1" s="1"/>
  <c r="I1994" i="1" a="1"/>
  <c r="I1994" i="1" s="1"/>
  <c r="F1989" i="1" a="1"/>
  <c r="F1989" i="1" s="1"/>
  <c r="I1991" i="1" a="1"/>
  <c r="I1991" i="1" s="1"/>
  <c r="F1994" i="1" a="1"/>
  <c r="F1994" i="1" s="1"/>
  <c r="H1988" i="1" a="1"/>
  <c r="H1988" i="1" s="1"/>
  <c r="K1988" i="1" a="1"/>
  <c r="K1988" i="1" s="1"/>
  <c r="J1989" i="1" a="1"/>
  <c r="J1989" i="1" s="1"/>
  <c r="H1994" i="1" a="1"/>
  <c r="H1994" i="1" s="1"/>
  <c r="I1995" i="1" a="1"/>
  <c r="I1995" i="1" s="1"/>
  <c r="J1994" i="1" a="1"/>
  <c r="J1994" i="1" s="1"/>
  <c r="I1996" i="1" a="1"/>
  <c r="I1996" i="1" s="1"/>
  <c r="G1996" i="1" a="1"/>
  <c r="G1996" i="1" s="1"/>
  <c r="K1991" i="1" a="1"/>
  <c r="K1991" i="1" s="1"/>
  <c r="H1990" i="1" a="1"/>
  <c r="H1990" i="1" s="1"/>
  <c r="I1989" i="1" a="1"/>
  <c r="I1989" i="1" s="1"/>
  <c r="K1989" i="1" a="1"/>
  <c r="K1989" i="1" s="1"/>
  <c r="I1992" i="1" a="1"/>
  <c r="I1992" i="1" s="1"/>
  <c r="F1990" i="1" a="1"/>
  <c r="F1990" i="1" s="1"/>
  <c r="I1998" i="1" a="1"/>
  <c r="I1998" i="1" s="1"/>
  <c r="I1999" i="1" s="1" a="1"/>
  <c r="I1999" i="1" s="1"/>
  <c r="F1988" i="1" a="1"/>
  <c r="F1988" i="1" s="1"/>
  <c r="G1989" i="1" a="1"/>
  <c r="G1989" i="1" s="1"/>
  <c r="F1998" i="1" a="1"/>
  <c r="F1998" i="1" s="1"/>
  <c r="F1999" i="1" s="1" a="1"/>
  <c r="F1999" i="1" s="1"/>
  <c r="H1998" i="1" a="1"/>
  <c r="H1998" i="1" s="1"/>
  <c r="H1999" i="1" s="1" a="1"/>
  <c r="H1999" i="1" s="1"/>
  <c r="G1986" i="1" a="1"/>
  <c r="G1986" i="1" s="1"/>
  <c r="F1986" i="1" a="1"/>
  <c r="F1986" i="1" s="1"/>
  <c r="K1985" i="1" a="1"/>
  <c r="K1985" i="1" s="1"/>
  <c r="I1979" i="1" a="1"/>
  <c r="I1979" i="1" s="1"/>
  <c r="I1985" i="1" a="1"/>
  <c r="I1985" i="1" s="1"/>
  <c r="I1977" i="1" a="1"/>
  <c r="I1977" i="1" s="1"/>
  <c r="F1985" i="1" a="1"/>
  <c r="F1985" i="1" s="1"/>
  <c r="J1984" i="1" a="1"/>
  <c r="J1984" i="1" s="1"/>
  <c r="K1980" i="1" a="1"/>
  <c r="K1980" i="1" s="1"/>
  <c r="I1984" i="1" a="1"/>
  <c r="I1984" i="1" s="1"/>
  <c r="I1983" i="1" a="1"/>
  <c r="I1983" i="1" s="1"/>
  <c r="H1983" i="1" a="1"/>
  <c r="H1983" i="1" s="1"/>
  <c r="F1979" i="1" a="1"/>
  <c r="F1979" i="1" s="1"/>
  <c r="K1981" i="1" a="1"/>
  <c r="K1981" i="1" s="1"/>
  <c r="G1983" i="1" a="1"/>
  <c r="G1983" i="1" s="1"/>
  <c r="F1983" i="1" a="1"/>
  <c r="F1983" i="1" s="1"/>
  <c r="J1982" i="1" a="1"/>
  <c r="J1982" i="1" s="1"/>
  <c r="J1977" i="1" a="1"/>
  <c r="J1977" i="1" s="1"/>
  <c r="G1982" i="1" a="1"/>
  <c r="G1982" i="1" s="1"/>
  <c r="G1981" i="1" a="1"/>
  <c r="G1981" i="1" s="1"/>
  <c r="F1982" i="1" a="1"/>
  <c r="F1982" i="1" s="1"/>
  <c r="I1981" i="1" a="1"/>
  <c r="I1981" i="1" s="1"/>
  <c r="F1978" i="1" a="1"/>
  <c r="F1978" i="1" s="1"/>
  <c r="G1979" i="1" a="1"/>
  <c r="G1979" i="1" s="1"/>
  <c r="H1977" i="1" a="1"/>
  <c r="H1977" i="1" s="1"/>
  <c r="H1979" i="1" a="1"/>
  <c r="H1979" i="1" s="1"/>
  <c r="H1980" i="1" a="1"/>
  <c r="H1980" i="1" s="1"/>
  <c r="J1979" i="1" a="1"/>
  <c r="J1979" i="1" s="1"/>
  <c r="H1981" i="1" a="1"/>
  <c r="H1981" i="1" s="1"/>
  <c r="K1987" i="1" a="1"/>
  <c r="K1987" i="1" s="1"/>
  <c r="J1987" i="1" a="1"/>
  <c r="J1987" i="1" s="1"/>
  <c r="G1987" i="1" a="1"/>
  <c r="G1987" i="1" s="1"/>
  <c r="I1987" i="1" a="1"/>
  <c r="I1987" i="1" s="1"/>
  <c r="H1985" i="1" a="1"/>
  <c r="H1985" i="1" s="1"/>
  <c r="I1982" i="1" a="1"/>
  <c r="I1982" i="1" s="1"/>
  <c r="H1987" i="1" a="1"/>
  <c r="H1987" i="1" s="1"/>
  <c r="F1987" i="1" a="1"/>
  <c r="F1987" i="1" s="1"/>
  <c r="J1980" i="1" a="1"/>
  <c r="J1980" i="1" s="1"/>
  <c r="F1980" i="1" a="1"/>
  <c r="F1980" i="1" s="1"/>
  <c r="K1983" i="1" a="1"/>
  <c r="K1983" i="1" s="1"/>
  <c r="H1978" i="1" a="1"/>
  <c r="H1978" i="1" s="1"/>
  <c r="K1986" i="1" a="1"/>
  <c r="K1986" i="1" s="1"/>
  <c r="J1986" i="1" a="1"/>
  <c r="J1986" i="1" s="1"/>
  <c r="G1985" i="1" a="1"/>
  <c r="G1985" i="1" s="1"/>
  <c r="K1984" i="1" a="1"/>
  <c r="K1984" i="1" s="1"/>
  <c r="J1981" i="1" a="1"/>
  <c r="J1981" i="1" s="1"/>
  <c r="K1979" i="1" a="1"/>
  <c r="K1979" i="1" s="1"/>
  <c r="K1977" i="1" a="1"/>
  <c r="K1977" i="1" s="1"/>
  <c r="I1986" i="1" a="1"/>
  <c r="I1986" i="1" s="1"/>
  <c r="G1984" i="1" a="1"/>
  <c r="G1984" i="1" s="1"/>
  <c r="G1980" i="1" a="1"/>
  <c r="G1980" i="1" s="1"/>
  <c r="F1984" i="1" a="1"/>
  <c r="F1984" i="1" s="1"/>
  <c r="J1983" i="1" a="1"/>
  <c r="J1983" i="1" s="1"/>
  <c r="K1982" i="1" a="1"/>
  <c r="K1982" i="1" s="1"/>
  <c r="J1978" i="1" a="1"/>
  <c r="J1978" i="1" s="1"/>
  <c r="F1981" i="1" a="1"/>
  <c r="F1981" i="1" s="1"/>
  <c r="H1982" i="1" a="1"/>
  <c r="H1982" i="1" s="1"/>
  <c r="G1978" i="1" a="1"/>
  <c r="G1978" i="1" s="1"/>
  <c r="J1985" i="1" a="1"/>
  <c r="J1985" i="1" s="1"/>
  <c r="I1980" i="1" a="1"/>
  <c r="I1980" i="1" s="1"/>
  <c r="K1978" i="1" a="1"/>
  <c r="K1978" i="1" s="1"/>
  <c r="I1978" i="1" a="1"/>
  <c r="I1978" i="1" s="1"/>
  <c r="H1984" i="1" a="1"/>
  <c r="H1984" i="1" s="1"/>
  <c r="H1986" i="1" a="1"/>
  <c r="H1986" i="1" s="1"/>
  <c r="J1970" i="1" a="1"/>
  <c r="J1970" i="1" s="1"/>
  <c r="F1970" i="1" a="1"/>
  <c r="F1970" i="1" s="1"/>
  <c r="K1969" i="1" a="1"/>
  <c r="K1969" i="1" s="1"/>
  <c r="G1969" i="1" a="1"/>
  <c r="G1969" i="1" s="1"/>
  <c r="I1972" i="1" a="1"/>
  <c r="I1972" i="1" s="1"/>
  <c r="K1971" i="1" a="1"/>
  <c r="K1971" i="1" s="1"/>
  <c r="K1968" i="1" a="1"/>
  <c r="K1968" i="1" s="1"/>
  <c r="K1970" i="1" a="1"/>
  <c r="K1970" i="1" s="1"/>
  <c r="K1967" i="1" a="1"/>
  <c r="K1967" i="1" s="1"/>
  <c r="I1967" i="1" a="1"/>
  <c r="I1967" i="1" s="1"/>
  <c r="F1967" i="1" a="1"/>
  <c r="F1967" i="1" s="1"/>
  <c r="J1967" i="1" a="1"/>
  <c r="J1967" i="1" s="1"/>
  <c r="F1974" i="1" a="1"/>
  <c r="F1974" i="1" s="1"/>
  <c r="F1968" i="1" a="1"/>
  <c r="F1968" i="1" s="1"/>
  <c r="G1967" i="1" a="1"/>
  <c r="G1967" i="1" s="1"/>
  <c r="F1972" i="1" a="1"/>
  <c r="F1972" i="1" s="1"/>
  <c r="J1972" i="1" a="1"/>
  <c r="J1972" i="1" s="1"/>
  <c r="H1972" i="1" a="1"/>
  <c r="H1972" i="1" s="1"/>
  <c r="G1971" i="1" a="1"/>
  <c r="G1971" i="1" s="1"/>
  <c r="H1967" i="1" a="1"/>
  <c r="H1967" i="1" s="1"/>
  <c r="G1970" i="1" a="1"/>
  <c r="G1970" i="1" s="1"/>
  <c r="I1969" i="1" a="1"/>
  <c r="I1969" i="1" s="1"/>
  <c r="F1969" i="1" a="1"/>
  <c r="F1969" i="1" s="1"/>
  <c r="H1969" i="1" a="1"/>
  <c r="H1969" i="1" s="1"/>
  <c r="H1968" i="1" a="1"/>
  <c r="H1968" i="1" s="1"/>
  <c r="K1966" i="1" a="1"/>
  <c r="K1966" i="1" s="1"/>
  <c r="G1977" i="1" a="1"/>
  <c r="G1977" i="1" s="1"/>
  <c r="F1977" i="1" a="1"/>
  <c r="F1977" i="1" s="1"/>
  <c r="K1976" i="1" a="1"/>
  <c r="K1976" i="1" s="1"/>
  <c r="G1975" i="1" a="1"/>
  <c r="G1975" i="1" s="1"/>
  <c r="I1971" i="1" a="1"/>
  <c r="I1971" i="1" s="1"/>
  <c r="J1969" i="1" a="1"/>
  <c r="J1969" i="1" s="1"/>
  <c r="K1975" i="1" a="1"/>
  <c r="K1975" i="1" s="1"/>
  <c r="J1976" i="1" a="1"/>
  <c r="J1976" i="1" s="1"/>
  <c r="I1976" i="1" a="1"/>
  <c r="I1976" i="1" s="1"/>
  <c r="H1976" i="1" a="1"/>
  <c r="H1976" i="1" s="1"/>
  <c r="G1976" i="1" a="1"/>
  <c r="G1976" i="1" s="1"/>
  <c r="F1976" i="1" a="1"/>
  <c r="F1976" i="1" s="1"/>
  <c r="J1975" i="1" a="1"/>
  <c r="J1975" i="1" s="1"/>
  <c r="H1970" i="1" a="1"/>
  <c r="H1970" i="1" s="1"/>
  <c r="I1975" i="1" a="1"/>
  <c r="I1975" i="1" s="1"/>
  <c r="J1968" i="1" a="1"/>
  <c r="J1968" i="1" s="1"/>
  <c r="F1971" i="1" a="1"/>
  <c r="F1971" i="1" s="1"/>
  <c r="I1970" i="1" a="1"/>
  <c r="I1970" i="1" s="1"/>
  <c r="H1975" i="1" a="1"/>
  <c r="H1975" i="1" s="1"/>
  <c r="F1975" i="1" a="1"/>
  <c r="F1975" i="1" s="1"/>
  <c r="K1974" i="1" a="1"/>
  <c r="K1974" i="1" s="1"/>
  <c r="J1974" i="1" a="1"/>
  <c r="J1974" i="1" s="1"/>
  <c r="I1974" i="1" a="1"/>
  <c r="I1974" i="1" s="1"/>
  <c r="H1974" i="1" a="1"/>
  <c r="H1974" i="1" s="1"/>
  <c r="I1968" i="1" a="1"/>
  <c r="I1968" i="1" s="1"/>
  <c r="G1974" i="1" a="1"/>
  <c r="G1974" i="1" s="1"/>
  <c r="K1972" i="1" a="1"/>
  <c r="K1972" i="1" s="1"/>
  <c r="J1971" i="1" a="1"/>
  <c r="J1971" i="1" s="1"/>
  <c r="H1971" i="1" a="1"/>
  <c r="H1971" i="1" s="1"/>
  <c r="G1968" i="1" a="1"/>
  <c r="G1968" i="1" s="1"/>
  <c r="G1972" i="1" a="1"/>
  <c r="G1972" i="1" s="1"/>
  <c r="H1964" i="1" a="1"/>
  <c r="H1964" i="1" s="1"/>
  <c r="G1964" i="1" a="1"/>
  <c r="G1964" i="1" s="1"/>
  <c r="J1956" i="1" a="1"/>
  <c r="J1956" i="1" s="1"/>
  <c r="F1964" i="1" a="1"/>
  <c r="F1964" i="1" s="1"/>
  <c r="K1963" i="1" a="1"/>
  <c r="K1963" i="1" s="1"/>
  <c r="J1963" i="1" a="1"/>
  <c r="J1963" i="1" s="1"/>
  <c r="I1963" i="1" a="1"/>
  <c r="I1963" i="1" s="1"/>
  <c r="H1963" i="1" a="1"/>
  <c r="H1963" i="1" s="1"/>
  <c r="G1963" i="1" a="1"/>
  <c r="G1963" i="1" s="1"/>
  <c r="K1960" i="1" a="1"/>
  <c r="K1960" i="1" s="1"/>
  <c r="F1963" i="1" a="1"/>
  <c r="F1963" i="1" s="1"/>
  <c r="H1962" i="1" a="1"/>
  <c r="H1962" i="1" s="1"/>
  <c r="J1960" i="1" a="1"/>
  <c r="J1960" i="1" s="1"/>
  <c r="J1958" i="1" a="1"/>
  <c r="J1958" i="1" s="1"/>
  <c r="G1958" i="1" a="1"/>
  <c r="G1958" i="1" s="1"/>
  <c r="K1956" i="1" a="1"/>
  <c r="K1956" i="1" s="1"/>
  <c r="F1958" i="1" a="1"/>
  <c r="F1958" i="1" s="1"/>
  <c r="H1961" i="1" a="1"/>
  <c r="H1961" i="1" s="1"/>
  <c r="F1960" i="1" a="1"/>
  <c r="F1960" i="1" s="1"/>
  <c r="H1959" i="1" a="1"/>
  <c r="H1959" i="1" s="1"/>
  <c r="I1958" i="1" a="1"/>
  <c r="I1958" i="1" s="1"/>
  <c r="K1957" i="1" a="1"/>
  <c r="K1957" i="1" s="1"/>
  <c r="F1957" i="1" a="1"/>
  <c r="F1957" i="1" s="1"/>
  <c r="J1962" i="1" a="1"/>
  <c r="J1962" i="1" s="1"/>
  <c r="G1962" i="1" a="1"/>
  <c r="G1962" i="1" s="1"/>
  <c r="I1961" i="1" a="1"/>
  <c r="I1961" i="1" s="1"/>
  <c r="H1960" i="1" a="1"/>
  <c r="H1960" i="1" s="1"/>
  <c r="G1959" i="1" a="1"/>
  <c r="G1959" i="1" s="1"/>
  <c r="F1961" i="1" a="1"/>
  <c r="F1961" i="1" s="1"/>
  <c r="I1960" i="1" a="1"/>
  <c r="I1960" i="1" s="1"/>
  <c r="J1959" i="1" a="1"/>
  <c r="J1959" i="1" s="1"/>
  <c r="G1957" i="1" a="1"/>
  <c r="G1957" i="1" s="1"/>
  <c r="I1956" i="1" a="1"/>
  <c r="I1956" i="1" s="1"/>
  <c r="J1966" i="1" a="1"/>
  <c r="J1966" i="1" s="1"/>
  <c r="I1966" i="1" a="1"/>
  <c r="I1966" i="1" s="1"/>
  <c r="H1966" i="1" a="1"/>
  <c r="H1966" i="1" s="1"/>
  <c r="G1966" i="1" a="1"/>
  <c r="G1966" i="1" s="1"/>
  <c r="F1966" i="1" a="1"/>
  <c r="F1966" i="1" s="1"/>
  <c r="K1965" i="1" a="1"/>
  <c r="K1965" i="1" s="1"/>
  <c r="J1965" i="1" a="1"/>
  <c r="J1965" i="1" s="1"/>
  <c r="G1965" i="1" a="1"/>
  <c r="G1965" i="1" s="1"/>
  <c r="J1957" i="1" a="1"/>
  <c r="J1957" i="1" s="1"/>
  <c r="J1964" i="1" a="1"/>
  <c r="J1964" i="1" s="1"/>
  <c r="I1962" i="1" a="1"/>
  <c r="I1962" i="1" s="1"/>
  <c r="H1957" i="1" a="1"/>
  <c r="H1957" i="1" s="1"/>
  <c r="H1958" i="1" a="1"/>
  <c r="H1958" i="1" s="1"/>
  <c r="K1958" i="1" a="1"/>
  <c r="K1958" i="1" s="1"/>
  <c r="G1961" i="1" a="1"/>
  <c r="G1961" i="1" s="1"/>
  <c r="I1965" i="1" a="1"/>
  <c r="I1965" i="1" s="1"/>
  <c r="H1965" i="1" a="1"/>
  <c r="H1965" i="1" s="1"/>
  <c r="K1961" i="1" a="1"/>
  <c r="K1961" i="1" s="1"/>
  <c r="I1959" i="1" a="1"/>
  <c r="I1959" i="1" s="1"/>
  <c r="K1959" i="1" a="1"/>
  <c r="K1959" i="1" s="1"/>
  <c r="K1964" i="1" a="1"/>
  <c r="K1964" i="1" s="1"/>
  <c r="I1957" i="1" a="1"/>
  <c r="I1957" i="1" s="1"/>
  <c r="J1961" i="1" a="1"/>
  <c r="J1961" i="1" s="1"/>
  <c r="K1962" i="1" a="1"/>
  <c r="K1962" i="1" s="1"/>
  <c r="F1965" i="1" a="1"/>
  <c r="F1965" i="1" s="1"/>
  <c r="G1960" i="1" a="1"/>
  <c r="G1960" i="1" s="1"/>
  <c r="F1962" i="1" a="1"/>
  <c r="F1962" i="1" s="1"/>
  <c r="I1964" i="1" a="1"/>
  <c r="I1964" i="1" s="1"/>
  <c r="F1959" i="1" a="1"/>
  <c r="F1959" i="1" s="1"/>
  <c r="J1951" i="1" a="1"/>
  <c r="J1951" i="1" s="1"/>
  <c r="H1947" i="1" a="1"/>
  <c r="H1947" i="1" s="1"/>
  <c r="F1951" i="1" a="1"/>
  <c r="F1951" i="1" s="1"/>
  <c r="K1953" i="1" a="1"/>
  <c r="K1953" i="1" s="1"/>
  <c r="K1950" i="1" a="1"/>
  <c r="K1950" i="1" s="1"/>
  <c r="I1947" i="1" a="1"/>
  <c r="I1947" i="1" s="1"/>
  <c r="F1953" i="1" a="1"/>
  <c r="F1953" i="1" s="1"/>
  <c r="H1951" i="1" a="1"/>
  <c r="H1951" i="1" s="1"/>
  <c r="K1952" i="1" a="1"/>
  <c r="K1952" i="1" s="1"/>
  <c r="J1947" i="1" a="1"/>
  <c r="J1947" i="1" s="1"/>
  <c r="G1947" i="1" a="1"/>
  <c r="G1947" i="1" s="1"/>
  <c r="K1947" i="1" a="1"/>
  <c r="K1947" i="1" s="1"/>
  <c r="F1947" i="1" a="1"/>
  <c r="F1947" i="1" s="1"/>
  <c r="F1952" i="1" a="1"/>
  <c r="F1952" i="1" s="1"/>
  <c r="I1948" i="1" a="1"/>
  <c r="I1948" i="1" s="1"/>
  <c r="J1946" i="1" a="1"/>
  <c r="J1946" i="1" s="1"/>
  <c r="K1946" i="1" a="1"/>
  <c r="K1946" i="1" s="1"/>
  <c r="H1956" i="1" a="1"/>
  <c r="H1956" i="1" s="1"/>
  <c r="G1956" i="1" a="1"/>
  <c r="G1956" i="1" s="1"/>
  <c r="H1954" i="1" a="1"/>
  <c r="H1954" i="1" s="1"/>
  <c r="H1953" i="1" a="1"/>
  <c r="H1953" i="1" s="1"/>
  <c r="H1952" i="1" a="1"/>
  <c r="H1952" i="1" s="1"/>
  <c r="J1950" i="1" a="1"/>
  <c r="J1950" i="1" s="1"/>
  <c r="F1946" i="1" a="1"/>
  <c r="F1946" i="1" s="1"/>
  <c r="F1956" i="1" a="1"/>
  <c r="F1956" i="1" s="1"/>
  <c r="J1954" i="1" a="1"/>
  <c r="J1954" i="1" s="1"/>
  <c r="H1948" i="1" a="1"/>
  <c r="H1948" i="1" s="1"/>
  <c r="H1955" i="1" a="1"/>
  <c r="H1955" i="1" s="1"/>
  <c r="I1953" i="1" a="1"/>
  <c r="I1953" i="1" s="1"/>
  <c r="K1945" i="1" a="1"/>
  <c r="K1945" i="1" s="1"/>
  <c r="I1952" i="1" a="1"/>
  <c r="I1952" i="1" s="1"/>
  <c r="J1945" i="1" a="1"/>
  <c r="J1945" i="1" s="1"/>
  <c r="H1945" i="1" a="1"/>
  <c r="H1945" i="1" s="1"/>
  <c r="I1955" i="1" a="1"/>
  <c r="I1955" i="1" s="1"/>
  <c r="K1955" i="1" a="1"/>
  <c r="K1955" i="1" s="1"/>
  <c r="J1955" i="1" a="1"/>
  <c r="J1955" i="1" s="1"/>
  <c r="G1955" i="1" a="1"/>
  <c r="G1955" i="1" s="1"/>
  <c r="F1955" i="1" a="1"/>
  <c r="F1955" i="1" s="1"/>
  <c r="K1954" i="1" a="1"/>
  <c r="K1954" i="1" s="1"/>
  <c r="J1953" i="1" a="1"/>
  <c r="J1953" i="1" s="1"/>
  <c r="G1953" i="1" a="1"/>
  <c r="G1953" i="1" s="1"/>
  <c r="I1951" i="1" a="1"/>
  <c r="I1951" i="1" s="1"/>
  <c r="F1950" i="1" a="1"/>
  <c r="F1950" i="1" s="1"/>
  <c r="K1948" i="1" a="1"/>
  <c r="K1948" i="1" s="1"/>
  <c r="J1948" i="1" a="1"/>
  <c r="J1948" i="1" s="1"/>
  <c r="G1952" i="1" a="1"/>
  <c r="G1952" i="1" s="1"/>
  <c r="F1948" i="1" a="1"/>
  <c r="F1948" i="1" s="1"/>
  <c r="J1952" i="1" a="1"/>
  <c r="J1952" i="1" s="1"/>
  <c r="I1954" i="1" a="1"/>
  <c r="I1954" i="1" s="1"/>
  <c r="K1951" i="1" a="1"/>
  <c r="K1951" i="1" s="1"/>
  <c r="H1950" i="1" a="1"/>
  <c r="H1950" i="1" s="1"/>
  <c r="I1945" i="1" a="1"/>
  <c r="I1945" i="1" s="1"/>
  <c r="G1951" i="1" a="1"/>
  <c r="G1951" i="1" s="1"/>
  <c r="G1950" i="1" a="1"/>
  <c r="G1950" i="1" s="1"/>
  <c r="I1946" i="1" a="1"/>
  <c r="I1946" i="1" s="1"/>
  <c r="I1950" i="1" a="1"/>
  <c r="I1950" i="1" s="1"/>
  <c r="H1946" i="1" a="1"/>
  <c r="H1946" i="1" s="1"/>
  <c r="G1946" i="1" a="1"/>
  <c r="G1946" i="1" s="1"/>
  <c r="G1948" i="1" a="1"/>
  <c r="G1948" i="1" s="1"/>
  <c r="G1954" i="1" a="1"/>
  <c r="G1954" i="1" s="1"/>
  <c r="F1954" i="1" a="1"/>
  <c r="F1954" i="1" s="1"/>
  <c r="J1938" i="1" a="1"/>
  <c r="J1938" i="1" s="1"/>
  <c r="K1944" i="1" a="1"/>
  <c r="K1944" i="1" s="1"/>
  <c r="I1943" i="1" a="1"/>
  <c r="I1943" i="1" s="1"/>
  <c r="I1938" i="1" a="1"/>
  <c r="I1938" i="1" s="1"/>
  <c r="G1939" i="1" a="1"/>
  <c r="G1939" i="1" s="1"/>
  <c r="I1936" i="1" a="1"/>
  <c r="I1936" i="1" s="1"/>
  <c r="I1941" i="1" a="1"/>
  <c r="I1941" i="1" s="1"/>
  <c r="G1941" i="1" a="1"/>
  <c r="G1941" i="1" s="1"/>
  <c r="J1940" i="1" a="1"/>
  <c r="J1940" i="1" s="1"/>
  <c r="H1940" i="1" a="1"/>
  <c r="H1940" i="1" s="1"/>
  <c r="G1938" i="1" a="1"/>
  <c r="G1938" i="1" s="1"/>
  <c r="G1936" i="1" a="1"/>
  <c r="G1936" i="1" s="1"/>
  <c r="G1935" i="1" a="1"/>
  <c r="G1935" i="1" s="1"/>
  <c r="H1939" i="1" a="1"/>
  <c r="H1939" i="1" s="1"/>
  <c r="H1935" i="1" a="1"/>
  <c r="H1935" i="1" s="1"/>
  <c r="H1937" i="1" a="1"/>
  <c r="H1937" i="1" s="1"/>
  <c r="J1944" i="1" a="1"/>
  <c r="J1944" i="1" s="1"/>
  <c r="G1937" i="1" a="1"/>
  <c r="G1937" i="1" s="1"/>
  <c r="G1944" i="1" a="1"/>
  <c r="G1944" i="1" s="1"/>
  <c r="J1942" i="1" a="1"/>
  <c r="J1942" i="1" s="1"/>
  <c r="J1941" i="1" a="1"/>
  <c r="J1941" i="1" s="1"/>
  <c r="I1939" i="1" a="1"/>
  <c r="I1939" i="1" s="1"/>
  <c r="K1937" i="1" a="1"/>
  <c r="K1937" i="1" s="1"/>
  <c r="H1944" i="1" a="1"/>
  <c r="H1944" i="1" s="1"/>
  <c r="J1939" i="1" a="1"/>
  <c r="J1939" i="1" s="1"/>
  <c r="F1938" i="1" a="1"/>
  <c r="F1938" i="1" s="1"/>
  <c r="J1937" i="1" a="1"/>
  <c r="J1937" i="1" s="1"/>
  <c r="K1935" i="1" a="1"/>
  <c r="K1935" i="1" s="1"/>
  <c r="K1941" i="1" a="1"/>
  <c r="K1941" i="1" s="1"/>
  <c r="K1939" i="1" a="1"/>
  <c r="K1939" i="1" s="1"/>
  <c r="J1936" i="1" a="1"/>
  <c r="J1936" i="1" s="1"/>
  <c r="J1934" i="1" a="1"/>
  <c r="J1934" i="1" s="1"/>
  <c r="F1944" i="1" a="1"/>
  <c r="F1944" i="1" s="1"/>
  <c r="F1940" i="1" a="1"/>
  <c r="F1940" i="1" s="1"/>
  <c r="F1939" i="1" a="1"/>
  <c r="F1939" i="1" s="1"/>
  <c r="K1943" i="1" a="1"/>
  <c r="K1943" i="1" s="1"/>
  <c r="H1943" i="1" a="1"/>
  <c r="H1943" i="1" s="1"/>
  <c r="G1943" i="1" a="1"/>
  <c r="G1943" i="1" s="1"/>
  <c r="I1942" i="1" a="1"/>
  <c r="I1942" i="1" s="1"/>
  <c r="F1943" i="1" a="1"/>
  <c r="F1943" i="1" s="1"/>
  <c r="H1941" i="1" a="1"/>
  <c r="H1941" i="1" s="1"/>
  <c r="K1942" i="1" a="1"/>
  <c r="K1942" i="1" s="1"/>
  <c r="H1942" i="1" a="1"/>
  <c r="H1942" i="1" s="1"/>
  <c r="F1942" i="1" a="1"/>
  <c r="F1942" i="1" s="1"/>
  <c r="K1940" i="1" a="1"/>
  <c r="K1940" i="1" s="1"/>
  <c r="K1934" i="1" a="1"/>
  <c r="K1934" i="1" s="1"/>
  <c r="J1935" i="1" a="1"/>
  <c r="J1935" i="1" s="1"/>
  <c r="I1940" i="1" a="1"/>
  <c r="I1940" i="1" s="1"/>
  <c r="K1938" i="1" a="1"/>
  <c r="K1938" i="1" s="1"/>
  <c r="I1937" i="1" a="1"/>
  <c r="I1937" i="1" s="1"/>
  <c r="F1941" i="1" a="1"/>
  <c r="F1941" i="1" s="1"/>
  <c r="K1936" i="1" a="1"/>
  <c r="K1936" i="1" s="1"/>
  <c r="H1936" i="1" a="1"/>
  <c r="H1936" i="1" s="1"/>
  <c r="G1942" i="1" a="1"/>
  <c r="G1942" i="1" s="1"/>
  <c r="G1940" i="1" a="1"/>
  <c r="G1940" i="1" s="1"/>
  <c r="F1935" i="1" a="1"/>
  <c r="F1935" i="1" s="1"/>
  <c r="F1936" i="1" a="1"/>
  <c r="F1936" i="1" s="1"/>
  <c r="H1938" i="1" a="1"/>
  <c r="H1938" i="1" s="1"/>
  <c r="F1937" i="1" a="1"/>
  <c r="F1937" i="1" s="1"/>
  <c r="I1944" i="1" a="1"/>
  <c r="I1944" i="1" s="1"/>
  <c r="I1935" i="1" a="1"/>
  <c r="I1935" i="1" s="1"/>
  <c r="G1945" i="1" a="1"/>
  <c r="G1945" i="1" s="1"/>
  <c r="F1945" i="1" a="1"/>
  <c r="F1945" i="1" s="1"/>
  <c r="J1943" i="1" a="1"/>
  <c r="J1943" i="1" s="1"/>
  <c r="F1928" i="1" a="1"/>
  <c r="F1928" i="1" s="1"/>
  <c r="F1931" i="1" a="1"/>
  <c r="F1931" i="1" s="1"/>
  <c r="G1933" i="1" a="1"/>
  <c r="G1933" i="1" s="1"/>
  <c r="F1934" i="1" a="1"/>
  <c r="F1934" i="1" s="1"/>
  <c r="H1931" i="1" a="1"/>
  <c r="H1931" i="1" s="1"/>
  <c r="H1927" i="1" a="1"/>
  <c r="H1927" i="1" s="1"/>
  <c r="H1933" i="1" a="1"/>
  <c r="H1933" i="1" s="1"/>
  <c r="F1925" i="1" a="1"/>
  <c r="F1925" i="1" s="1"/>
  <c r="G1927" i="1" a="1"/>
  <c r="G1927" i="1" s="1"/>
  <c r="G1926" i="1" a="1"/>
  <c r="G1926" i="1" s="1"/>
  <c r="I1931" i="1" a="1"/>
  <c r="I1931" i="1" s="1"/>
  <c r="F1924" i="1" a="1"/>
  <c r="F1924" i="1" s="1"/>
  <c r="J1931" i="1" a="1"/>
  <c r="J1931" i="1" s="1"/>
  <c r="I1926" i="1" a="1"/>
  <c r="I1926" i="1" s="1"/>
  <c r="F1933" i="1" a="1"/>
  <c r="F1933" i="1" s="1"/>
  <c r="K1930" i="1" a="1"/>
  <c r="K1930" i="1" s="1"/>
  <c r="I1927" i="1" a="1"/>
  <c r="I1927" i="1" s="1"/>
  <c r="H1925" i="1" a="1"/>
  <c r="H1925" i="1" s="1"/>
  <c r="F1932" i="1" a="1"/>
  <c r="F1932" i="1" s="1"/>
  <c r="K1932" i="1" a="1"/>
  <c r="K1932" i="1" s="1"/>
  <c r="F1930" i="1" a="1"/>
  <c r="F1930" i="1" s="1"/>
  <c r="I1929" i="1" a="1"/>
  <c r="I1929" i="1" s="1"/>
  <c r="I1928" i="1" a="1"/>
  <c r="I1928" i="1" s="1"/>
  <c r="G1928" i="1" a="1"/>
  <c r="G1928" i="1" s="1"/>
  <c r="K1933" i="1" a="1"/>
  <c r="K1933" i="1" s="1"/>
  <c r="J1933" i="1" a="1"/>
  <c r="J1933" i="1" s="1"/>
  <c r="G1924" i="1" a="1"/>
  <c r="G1924" i="1" s="1"/>
  <c r="I1924" i="1" a="1"/>
  <c r="I1924" i="1" s="1"/>
  <c r="I1933" i="1" a="1"/>
  <c r="I1933" i="1" s="1"/>
  <c r="K1928" i="1" a="1"/>
  <c r="K1928" i="1" s="1"/>
  <c r="J1932" i="1" a="1"/>
  <c r="J1932" i="1" s="1"/>
  <c r="I1932" i="1" a="1"/>
  <c r="I1932" i="1" s="1"/>
  <c r="H1932" i="1" a="1"/>
  <c r="H1932" i="1" s="1"/>
  <c r="G1932" i="1" a="1"/>
  <c r="G1932" i="1" s="1"/>
  <c r="F1927" i="1" a="1"/>
  <c r="F1927" i="1" s="1"/>
  <c r="G1930" i="1" a="1"/>
  <c r="G1930" i="1" s="1"/>
  <c r="J1924" i="1" a="1"/>
  <c r="J1924" i="1" s="1"/>
  <c r="H1929" i="1" a="1"/>
  <c r="H1929" i="1" s="1"/>
  <c r="G1925" i="1" a="1"/>
  <c r="G1925" i="1" s="1"/>
  <c r="G1929" i="1" a="1"/>
  <c r="G1929" i="1" s="1"/>
  <c r="J1928" i="1" a="1"/>
  <c r="J1928" i="1" s="1"/>
  <c r="H1928" i="1" a="1"/>
  <c r="H1928" i="1" s="1"/>
  <c r="K1926" i="1" a="1"/>
  <c r="K1926" i="1" s="1"/>
  <c r="I1925" i="1" a="1"/>
  <c r="I1925" i="1" s="1"/>
  <c r="K1925" i="1" a="1"/>
  <c r="K1925" i="1" s="1"/>
  <c r="K1927" i="1" a="1"/>
  <c r="K1927" i="1" s="1"/>
  <c r="H1926" i="1" a="1"/>
  <c r="H1926" i="1" s="1"/>
  <c r="F1926" i="1" a="1"/>
  <c r="F1926" i="1" s="1"/>
  <c r="J1930" i="1" a="1"/>
  <c r="J1930" i="1" s="1"/>
  <c r="H1924" i="1" a="1"/>
  <c r="H1924" i="1" s="1"/>
  <c r="I1930" i="1" a="1"/>
  <c r="I1930" i="1" s="1"/>
  <c r="H1930" i="1" a="1"/>
  <c r="H1930" i="1" s="1"/>
  <c r="K1929" i="1" a="1"/>
  <c r="K1929" i="1" s="1"/>
  <c r="J1929" i="1" a="1"/>
  <c r="J1929" i="1" s="1"/>
  <c r="J1926" i="1" a="1"/>
  <c r="J1926" i="1" s="1"/>
  <c r="F1929" i="1" a="1"/>
  <c r="F1929" i="1" s="1"/>
  <c r="J1925" i="1" a="1"/>
  <c r="J1925" i="1" s="1"/>
  <c r="K1924" i="1" a="1"/>
  <c r="K1924" i="1" s="1"/>
  <c r="I1934" i="1" a="1"/>
  <c r="I1934" i="1" s="1"/>
  <c r="H1934" i="1" a="1"/>
  <c r="H1934" i="1" s="1"/>
  <c r="G1934" i="1" a="1"/>
  <c r="G1934" i="1" s="1"/>
  <c r="K1931" i="1" a="1"/>
  <c r="K1931" i="1" s="1"/>
  <c r="G1931" i="1" a="1"/>
  <c r="G1931" i="1" s="1"/>
  <c r="J1927" i="1" a="1"/>
  <c r="J1927" i="1" s="1"/>
  <c r="K1917" i="1" a="1"/>
  <c r="K1917" i="1" s="1"/>
  <c r="F1917" i="1" a="1"/>
  <c r="F1917" i="1" s="1"/>
  <c r="K1913" i="1" a="1"/>
  <c r="K1913" i="1" s="1"/>
  <c r="J1916" i="1" a="1"/>
  <c r="J1916" i="1" s="1"/>
  <c r="K1921" i="1" a="1"/>
  <c r="K1921" i="1" s="1"/>
  <c r="I1921" i="1" a="1"/>
  <c r="I1921" i="1" s="1"/>
  <c r="G1921" i="1" a="1"/>
  <c r="G1921" i="1" s="1"/>
  <c r="I1920" i="1" a="1"/>
  <c r="I1920" i="1" s="1"/>
  <c r="J1920" i="1" a="1"/>
  <c r="J1920" i="1" s="1"/>
  <c r="G1920" i="1" a="1"/>
  <c r="G1920" i="1" s="1"/>
  <c r="H1919" i="1" a="1"/>
  <c r="H1919" i="1" s="1"/>
  <c r="G1917" i="1" a="1"/>
  <c r="G1917" i="1" s="1"/>
  <c r="J1915" i="1" a="1"/>
  <c r="J1915" i="1" s="1"/>
  <c r="I1918" i="1" a="1"/>
  <c r="I1918" i="1" s="1"/>
  <c r="F1916" i="1" a="1"/>
  <c r="F1916" i="1" s="1"/>
  <c r="H1914" i="1" a="1"/>
  <c r="H1914" i="1" s="1"/>
  <c r="F1915" i="1" a="1"/>
  <c r="F1915" i="1" s="1"/>
  <c r="G1914" i="1" a="1"/>
  <c r="G1914" i="1" s="1"/>
  <c r="F1921" i="1" a="1"/>
  <c r="F1921" i="1" s="1"/>
  <c r="I1916" i="1" a="1"/>
  <c r="I1916" i="1" s="1"/>
  <c r="J1913" i="1" a="1"/>
  <c r="J1913" i="1" s="1"/>
  <c r="I1917" i="1" a="1"/>
  <c r="I1917" i="1" s="1"/>
  <c r="K1918" i="1" a="1"/>
  <c r="K1918" i="1" s="1"/>
  <c r="K1919" i="1" a="1"/>
  <c r="K1919" i="1" s="1"/>
  <c r="I1914" i="1" a="1"/>
  <c r="I1914" i="1" s="1"/>
  <c r="J1917" i="1" a="1"/>
  <c r="J1917" i="1" s="1"/>
  <c r="G1915" i="1" a="1"/>
  <c r="G1915" i="1" s="1"/>
  <c r="I1913" i="1" a="1"/>
  <c r="I1913" i="1" s="1"/>
  <c r="K1923" i="1" a="1"/>
  <c r="K1923" i="1" s="1"/>
  <c r="J1923" i="1" a="1"/>
  <c r="J1923" i="1" s="1"/>
  <c r="G1922" i="1" a="1"/>
  <c r="G1922" i="1" s="1"/>
  <c r="K1916" i="1" a="1"/>
  <c r="K1916" i="1" s="1"/>
  <c r="I1923" i="1" a="1"/>
  <c r="I1923" i="1" s="1"/>
  <c r="K1920" i="1" a="1"/>
  <c r="K1920" i="1" s="1"/>
  <c r="F1918" i="1" a="1"/>
  <c r="F1918" i="1" s="1"/>
  <c r="H1915" i="1" a="1"/>
  <c r="H1915" i="1" s="1"/>
  <c r="H1917" i="1" a="1"/>
  <c r="H1917" i="1" s="1"/>
  <c r="I1922" i="1" a="1"/>
  <c r="I1922" i="1" s="1"/>
  <c r="G1919" i="1" a="1"/>
  <c r="G1919" i="1" s="1"/>
  <c r="H1923" i="1" a="1"/>
  <c r="H1923" i="1" s="1"/>
  <c r="G1923" i="1" a="1"/>
  <c r="G1923" i="1" s="1"/>
  <c r="F1923" i="1" a="1"/>
  <c r="F1923" i="1" s="1"/>
  <c r="J1921" i="1" a="1"/>
  <c r="J1921" i="1" s="1"/>
  <c r="J1919" i="1" a="1"/>
  <c r="J1919" i="1" s="1"/>
  <c r="K1914" i="1" a="1"/>
  <c r="K1914" i="1" s="1"/>
  <c r="H1918" i="1" a="1"/>
  <c r="H1918" i="1" s="1"/>
  <c r="H1913" i="1" a="1"/>
  <c r="H1913" i="1" s="1"/>
  <c r="K1922" i="1" a="1"/>
  <c r="K1922" i="1" s="1"/>
  <c r="J1922" i="1" a="1"/>
  <c r="J1922" i="1" s="1"/>
  <c r="K1915" i="1" a="1"/>
  <c r="K1915" i="1" s="1"/>
  <c r="H1922" i="1" a="1"/>
  <c r="H1922" i="1" s="1"/>
  <c r="H1916" i="1" a="1"/>
  <c r="H1916" i="1" s="1"/>
  <c r="H1920" i="1" a="1"/>
  <c r="H1920" i="1" s="1"/>
  <c r="G1916" i="1" a="1"/>
  <c r="G1916" i="1" s="1"/>
  <c r="J1918" i="1" a="1"/>
  <c r="J1918" i="1" s="1"/>
  <c r="I1915" i="1" a="1"/>
  <c r="I1915" i="1" s="1"/>
  <c r="F1920" i="1" a="1"/>
  <c r="F1920" i="1" s="1"/>
  <c r="G1918" i="1" a="1"/>
  <c r="G1918" i="1" s="1"/>
  <c r="F1914" i="1" a="1"/>
  <c r="F1914" i="1" s="1"/>
  <c r="I1919" i="1" a="1"/>
  <c r="I1919" i="1" s="1"/>
  <c r="F1919" i="1" a="1"/>
  <c r="F1919" i="1" s="1"/>
  <c r="F1922" i="1" a="1"/>
  <c r="F1922" i="1" s="1"/>
  <c r="H1921" i="1" a="1"/>
  <c r="H1921" i="1" s="1"/>
  <c r="J1914" i="1" a="1"/>
  <c r="J1914" i="1" s="1"/>
  <c r="K1912" i="1" a="1"/>
  <c r="K1912" i="1" s="1"/>
  <c r="I1907" i="1" a="1"/>
  <c r="I1907" i="1" s="1"/>
  <c r="I1906" i="1" a="1"/>
  <c r="I1906" i="1" s="1"/>
  <c r="J1907" i="1" a="1"/>
  <c r="J1907" i="1" s="1"/>
  <c r="J1912" i="1" a="1"/>
  <c r="J1912" i="1" s="1"/>
  <c r="I1912" i="1" a="1"/>
  <c r="I1912" i="1" s="1"/>
  <c r="K1911" i="1" a="1"/>
  <c r="K1911" i="1" s="1"/>
  <c r="G1911" i="1" a="1"/>
  <c r="G1911" i="1" s="1"/>
  <c r="J1908" i="1" a="1"/>
  <c r="J1908" i="1" s="1"/>
  <c r="J1906" i="1" a="1"/>
  <c r="J1906" i="1" s="1"/>
  <c r="I1905" i="1" a="1"/>
  <c r="I1905" i="1" s="1"/>
  <c r="K1904" i="1" a="1"/>
  <c r="K1904" i="1" s="1"/>
  <c r="H1903" i="1" a="1"/>
  <c r="H1903" i="1" s="1"/>
  <c r="F1911" i="1" a="1"/>
  <c r="F1911" i="1" s="1"/>
  <c r="G1910" i="1" a="1"/>
  <c r="G1910" i="1" s="1"/>
  <c r="K1909" i="1" a="1"/>
  <c r="K1909" i="1" s="1"/>
  <c r="F1903" i="1" a="1"/>
  <c r="F1903" i="1" s="1"/>
  <c r="G1903" i="1" a="1"/>
  <c r="G1903" i="1" s="1"/>
  <c r="H1907" i="1" a="1"/>
  <c r="H1907" i="1" s="1"/>
  <c r="H1906" i="1" a="1"/>
  <c r="H1906" i="1" s="1"/>
  <c r="F1905" i="1" a="1"/>
  <c r="F1905" i="1" s="1"/>
  <c r="H1909" i="1" a="1"/>
  <c r="H1909" i="1" s="1"/>
  <c r="G1906" i="1" a="1"/>
  <c r="G1906" i="1" s="1"/>
  <c r="H1905" i="1" a="1"/>
  <c r="H1905" i="1" s="1"/>
  <c r="J1903" i="1" a="1"/>
  <c r="J1903" i="1" s="1"/>
  <c r="G1908" i="1" a="1"/>
  <c r="G1908" i="1" s="1"/>
  <c r="H1911" i="1" a="1"/>
  <c r="H1911" i="1" s="1"/>
  <c r="G1907" i="1" a="1"/>
  <c r="G1907" i="1" s="1"/>
  <c r="G1909" i="1" a="1"/>
  <c r="G1909" i="1" s="1"/>
  <c r="K1908" i="1" a="1"/>
  <c r="K1908" i="1" s="1"/>
  <c r="K1906" i="1" a="1"/>
  <c r="K1906" i="1" s="1"/>
  <c r="I1904" i="1" a="1"/>
  <c r="I1904" i="1" s="1"/>
  <c r="H1912" i="1" a="1"/>
  <c r="H1912" i="1" s="1"/>
  <c r="K1907" i="1" a="1"/>
  <c r="K1907" i="1" s="1"/>
  <c r="H1904" i="1" a="1"/>
  <c r="H1904" i="1" s="1"/>
  <c r="F1912" i="1" a="1"/>
  <c r="F1912" i="1" s="1"/>
  <c r="J1911" i="1" a="1"/>
  <c r="J1911" i="1" s="1"/>
  <c r="H1910" i="1" a="1"/>
  <c r="H1910" i="1" s="1"/>
  <c r="F1910" i="1" a="1"/>
  <c r="F1910" i="1" s="1"/>
  <c r="F1909" i="1" a="1"/>
  <c r="F1909" i="1" s="1"/>
  <c r="I1908" i="1" a="1"/>
  <c r="I1908" i="1" s="1"/>
  <c r="F1904" i="1" a="1"/>
  <c r="F1904" i="1" s="1"/>
  <c r="H1908" i="1" a="1"/>
  <c r="H1908" i="1" s="1"/>
  <c r="F1908" i="1" a="1"/>
  <c r="F1908" i="1" s="1"/>
  <c r="F1907" i="1" a="1"/>
  <c r="F1907" i="1" s="1"/>
  <c r="F1906" i="1" a="1"/>
  <c r="F1906" i="1" s="1"/>
  <c r="J1905" i="1" a="1"/>
  <c r="J1905" i="1" s="1"/>
  <c r="J1902" i="1" a="1"/>
  <c r="J1902" i="1" s="1"/>
  <c r="G1912" i="1" a="1"/>
  <c r="G1912" i="1" s="1"/>
  <c r="K1910" i="1" a="1"/>
  <c r="K1910" i="1" s="1"/>
  <c r="J1910" i="1" a="1"/>
  <c r="J1910" i="1" s="1"/>
  <c r="I1910" i="1" a="1"/>
  <c r="I1910" i="1" s="1"/>
  <c r="K1902" i="1" a="1"/>
  <c r="K1902" i="1" s="1"/>
  <c r="I1903" i="1" a="1"/>
  <c r="I1903" i="1" s="1"/>
  <c r="J1904" i="1" a="1"/>
  <c r="J1904" i="1" s="1"/>
  <c r="K1905" i="1" a="1"/>
  <c r="K1905" i="1" s="1"/>
  <c r="G1913" i="1" a="1"/>
  <c r="G1913" i="1" s="1"/>
  <c r="G1904" i="1" a="1"/>
  <c r="G1904" i="1" s="1"/>
  <c r="I1911" i="1" a="1"/>
  <c r="I1911" i="1" s="1"/>
  <c r="G1905" i="1" a="1"/>
  <c r="G1905" i="1" s="1"/>
  <c r="K1903" i="1" a="1"/>
  <c r="K1903" i="1" s="1"/>
  <c r="J1909" i="1" a="1"/>
  <c r="J1909" i="1" s="1"/>
  <c r="F1913" i="1" a="1"/>
  <c r="F1913" i="1" s="1"/>
  <c r="I1909" i="1" a="1"/>
  <c r="I1909" i="1" s="1"/>
  <c r="I1902" i="1" a="1"/>
  <c r="I1902" i="1" s="1"/>
  <c r="H1902" i="1" a="1"/>
  <c r="H1902" i="1" s="1"/>
  <c r="G1902" i="1" a="1"/>
  <c r="G1902" i="1" s="1"/>
  <c r="F1902" i="1" a="1"/>
  <c r="F1902" i="1" s="1"/>
  <c r="K1901" i="1" a="1"/>
  <c r="K1901" i="1" s="1"/>
  <c r="J1901" i="1" a="1"/>
  <c r="J1901" i="1" s="1"/>
  <c r="I1901" i="1" a="1"/>
  <c r="I1901" i="1" s="1"/>
  <c r="H1901" i="1" a="1"/>
  <c r="H1901" i="1" s="1"/>
  <c r="G1901" i="1" a="1"/>
  <c r="G1901" i="1" s="1"/>
  <c r="F1901" i="1" a="1"/>
  <c r="F1901" i="1" s="1"/>
  <c r="F1900" i="1" a="1"/>
  <c r="F1900" i="1" s="1"/>
  <c r="K1899" i="1" a="1"/>
  <c r="K1899" i="1" s="1"/>
  <c r="K1900" i="1" a="1"/>
  <c r="K1900" i="1" s="1"/>
  <c r="I1899" i="1" a="1"/>
  <c r="I1899" i="1" s="1"/>
  <c r="J1899" i="1" a="1"/>
  <c r="J1899" i="1" s="1"/>
  <c r="G1899" i="1" a="1"/>
  <c r="G1899" i="1" s="1"/>
  <c r="H1899" i="1" a="1"/>
  <c r="H1899" i="1" s="1"/>
  <c r="J1900" i="1" a="1"/>
  <c r="J1900" i="1" s="1"/>
  <c r="I1900" i="1" a="1"/>
  <c r="I1900" i="1" s="1"/>
  <c r="H1900" i="1" a="1"/>
  <c r="H1900" i="1" s="1"/>
  <c r="F1899" i="1" a="1"/>
  <c r="F1899" i="1" s="1"/>
  <c r="G1900" i="1" a="1"/>
  <c r="G1900" i="1" s="1"/>
  <c r="J1664" i="1" a="1"/>
  <c r="J1664" i="1" s="1"/>
  <c r="I1667" i="1" a="1"/>
  <c r="I1667" i="1" s="1"/>
  <c r="F1666" i="1" a="1"/>
  <c r="F1666" i="1" s="1"/>
  <c r="F1665" i="1" a="1"/>
  <c r="F1665" i="1" s="1"/>
  <c r="F1668" i="1" a="1"/>
  <c r="F1668" i="1" s="1"/>
  <c r="G1663" i="1" a="1"/>
  <c r="G1663" i="1" s="1"/>
  <c r="G1667" i="1" a="1"/>
  <c r="G1667" i="1" s="1"/>
  <c r="I1670" i="1" a="1"/>
  <c r="I1670" i="1" s="1"/>
  <c r="I1669" i="1" a="1"/>
  <c r="I1669" i="1" s="1"/>
  <c r="G1669" i="1" a="1"/>
  <c r="G1669" i="1" s="1"/>
  <c r="G1668" i="1" a="1"/>
  <c r="G1668" i="1" s="1"/>
  <c r="F1663" i="1" a="1"/>
  <c r="F1663" i="1" s="1"/>
  <c r="F1667" i="1" a="1"/>
  <c r="F1667" i="1" s="1"/>
  <c r="H1668" i="1" a="1"/>
  <c r="H1668" i="1" s="1"/>
  <c r="I1671" i="1" a="1"/>
  <c r="I1671" i="1" s="1"/>
  <c r="G1671" i="1" a="1"/>
  <c r="G1671" i="1" s="1"/>
  <c r="H1666" i="1" a="1"/>
  <c r="H1666" i="1" s="1"/>
  <c r="H1663" i="1" a="1"/>
  <c r="H1663" i="1" s="1"/>
  <c r="J1669" i="1" a="1"/>
  <c r="J1669" i="1" s="1"/>
  <c r="K1670" i="1" a="1"/>
  <c r="K1670" i="1" s="1"/>
  <c r="H1670" i="1" a="1"/>
  <c r="H1670" i="1" s="1"/>
  <c r="H1665" i="1" a="1"/>
  <c r="H1665" i="1" s="1"/>
  <c r="K1665" i="1" a="1"/>
  <c r="K1665" i="1" s="1"/>
  <c r="I1664" i="1" a="1"/>
  <c r="I1664" i="1" s="1"/>
  <c r="G1665" i="1" a="1"/>
  <c r="G1665" i="1" s="1"/>
  <c r="G1664" i="1" a="1"/>
  <c r="G1664" i="1" s="1"/>
  <c r="J1663" i="1" a="1"/>
  <c r="J1663" i="1" s="1"/>
  <c r="H1671" i="1" a="1"/>
  <c r="H1671" i="1" s="1"/>
  <c r="H1667" i="1" a="1"/>
  <c r="H1667" i="1" s="1"/>
  <c r="K1664" i="1" a="1"/>
  <c r="K1664" i="1" s="1"/>
  <c r="K1663" i="1" a="1"/>
  <c r="K1663" i="1" s="1"/>
  <c r="J1662" i="1" a="1"/>
  <c r="J1662" i="1" s="1"/>
  <c r="G1670" i="1" a="1"/>
  <c r="G1670" i="1" s="1"/>
  <c r="K1668" i="1" a="1"/>
  <c r="K1668" i="1" s="1"/>
  <c r="I1668" i="1" a="1"/>
  <c r="I1668" i="1" s="1"/>
  <c r="K1667" i="1" a="1"/>
  <c r="K1667" i="1" s="1"/>
  <c r="I1666" i="1" a="1"/>
  <c r="I1666" i="1" s="1"/>
  <c r="K1662" i="1" a="1"/>
  <c r="K1662" i="1" s="1"/>
  <c r="J1667" i="1" a="1"/>
  <c r="J1667" i="1" s="1"/>
  <c r="K1666" i="1" a="1"/>
  <c r="K1666" i="1" s="1"/>
  <c r="G1666" i="1" a="1"/>
  <c r="G1666" i="1" s="1"/>
  <c r="J1665" i="1" a="1"/>
  <c r="J1665" i="1" s="1"/>
  <c r="I1665" i="1" a="1"/>
  <c r="I1665" i="1" s="1"/>
  <c r="H1669" i="1" a="1"/>
  <c r="H1669" i="1" s="1"/>
  <c r="K1671" i="1" a="1"/>
  <c r="K1671" i="1" s="1"/>
  <c r="J1671" i="1" a="1"/>
  <c r="J1671" i="1" s="1"/>
  <c r="J1666" i="1" a="1"/>
  <c r="J1666" i="1" s="1"/>
  <c r="H1664" i="1" a="1"/>
  <c r="H1664" i="1" s="1"/>
  <c r="F1664" i="1" a="1"/>
  <c r="F1664" i="1" s="1"/>
  <c r="F1669" i="1" a="1"/>
  <c r="F1669" i="1" s="1"/>
  <c r="F1671" i="1" a="1"/>
  <c r="F1671" i="1" s="1"/>
  <c r="J1670" i="1" a="1"/>
  <c r="J1670" i="1" s="1"/>
  <c r="F1670" i="1" a="1"/>
  <c r="F1670" i="1" s="1"/>
  <c r="K1669" i="1" a="1"/>
  <c r="K1669" i="1" s="1"/>
  <c r="J1668" i="1" a="1"/>
  <c r="J1668" i="1" s="1"/>
  <c r="I1663" i="1" a="1"/>
  <c r="I1663" i="1" s="1"/>
  <c r="G1652" i="1" a="1"/>
  <c r="G1652" i="1" s="1"/>
  <c r="K1658" i="1" a="1"/>
  <c r="K1658" i="1" s="1"/>
  <c r="F1646" i="1" a="1"/>
  <c r="F1646" i="1" s="1"/>
  <c r="F1658" i="1" a="1"/>
  <c r="F1658" i="1" s="1"/>
  <c r="K1660" i="1" a="1"/>
  <c r="K1660" i="1" s="1"/>
  <c r="F1660" i="1" a="1"/>
  <c r="F1660" i="1" s="1"/>
  <c r="J1658" i="1" a="1"/>
  <c r="J1658" i="1" s="1"/>
  <c r="I1644" i="1" a="1"/>
  <c r="I1644" i="1" s="1"/>
  <c r="I1660" i="1" a="1"/>
  <c r="I1660" i="1" s="1"/>
  <c r="H1660" i="1" a="1"/>
  <c r="H1660" i="1" s="1"/>
  <c r="H1646" i="1" a="1"/>
  <c r="H1646" i="1" s="1"/>
  <c r="K1659" i="1" a="1"/>
  <c r="K1659" i="1" s="1"/>
  <c r="J1659" i="1" a="1"/>
  <c r="J1659" i="1" s="1"/>
  <c r="I1659" i="1" a="1"/>
  <c r="I1659" i="1" s="1"/>
  <c r="H1659" i="1" a="1"/>
  <c r="H1659" i="1" s="1"/>
  <c r="G1659" i="1" a="1"/>
  <c r="G1659" i="1" s="1"/>
  <c r="G1645" i="1" a="1"/>
  <c r="G1645" i="1" s="1"/>
  <c r="F1659" i="1" a="1"/>
  <c r="F1659" i="1" s="1"/>
  <c r="G1646" i="1" a="1"/>
  <c r="G1646" i="1" s="1"/>
  <c r="G1658" i="1" a="1"/>
  <c r="G1658" i="1" s="1"/>
  <c r="F1652" i="1" a="1"/>
  <c r="F1652" i="1" s="1"/>
  <c r="K1652" i="1" a="1"/>
  <c r="K1652" i="1" s="1"/>
  <c r="J1652" i="1" a="1"/>
  <c r="J1652" i="1" s="1"/>
  <c r="K1646" i="1" a="1"/>
  <c r="K1646" i="1" s="1"/>
  <c r="I1645" i="1" a="1"/>
  <c r="I1645" i="1" s="1"/>
  <c r="J1660" i="1" a="1"/>
  <c r="J1660" i="1" s="1"/>
  <c r="G1660" i="1" a="1"/>
  <c r="G1660" i="1" s="1"/>
  <c r="I1658" i="1" a="1"/>
  <c r="I1658" i="1" s="1"/>
  <c r="H1652" i="1" a="1"/>
  <c r="H1652" i="1" s="1"/>
  <c r="J1646" i="1" a="1"/>
  <c r="J1646" i="1" s="1"/>
  <c r="J1645" i="1" a="1"/>
  <c r="J1645" i="1" s="1"/>
  <c r="H1645" i="1" a="1"/>
  <c r="H1645" i="1" s="1"/>
  <c r="K1644" i="1" a="1"/>
  <c r="K1644" i="1" s="1"/>
  <c r="H1658" i="1" a="1"/>
  <c r="H1658" i="1" s="1"/>
  <c r="I1652" i="1" a="1"/>
  <c r="I1652" i="1" s="1"/>
  <c r="H1644" i="1" a="1"/>
  <c r="H1644" i="1" s="1"/>
  <c r="I1646" i="1" a="1"/>
  <c r="I1646" i="1" s="1"/>
  <c r="K1645" i="1" a="1"/>
  <c r="K1645" i="1" s="1"/>
  <c r="F1645" i="1" a="1"/>
  <c r="F1645" i="1" s="1"/>
  <c r="J1644" i="1" a="1"/>
  <c r="J1644" i="1" s="1"/>
  <c r="I1662" i="1" a="1"/>
  <c r="I1662" i="1" s="1"/>
  <c r="H1662" i="1" a="1"/>
  <c r="H1662" i="1" s="1"/>
  <c r="G1662" i="1" a="1"/>
  <c r="G1662" i="1" s="1"/>
  <c r="F1662" i="1" a="1"/>
  <c r="F1662" i="1" s="1"/>
  <c r="K1640" i="1" a="1"/>
  <c r="K1640" i="1" s="1"/>
  <c r="K1642" i="1" a="1"/>
  <c r="K1642" i="1" s="1"/>
  <c r="G1642" i="1" a="1"/>
  <c r="G1642" i="1" s="1"/>
  <c r="H1626" i="1" a="1"/>
  <c r="H1626" i="1" s="1"/>
  <c r="I1641" i="1" a="1"/>
  <c r="I1641" i="1" s="1"/>
  <c r="J1640" i="1" a="1"/>
  <c r="J1640" i="1" s="1"/>
  <c r="F1627" i="1" a="1"/>
  <c r="F1627" i="1" s="1"/>
  <c r="I1626" i="1" a="1"/>
  <c r="I1626" i="1" s="1"/>
  <c r="J1624" i="1" a="1"/>
  <c r="J1624" i="1" s="1"/>
  <c r="J1626" i="1" a="1"/>
  <c r="J1626" i="1" s="1"/>
  <c r="J1642" i="1" a="1"/>
  <c r="J1642" i="1" s="1"/>
  <c r="I1642" i="1" a="1"/>
  <c r="I1642" i="1" s="1"/>
  <c r="H1627" i="1" a="1"/>
  <c r="H1627" i="1" s="1"/>
  <c r="K1626" i="1" a="1"/>
  <c r="K1626" i="1" s="1"/>
  <c r="K1625" i="1" a="1"/>
  <c r="K1625" i="1" s="1"/>
  <c r="G1641" i="1" a="1"/>
  <c r="G1641" i="1" s="1"/>
  <c r="H1642" i="1" a="1"/>
  <c r="H1642" i="1" s="1"/>
  <c r="J1641" i="1" a="1"/>
  <c r="J1641" i="1" s="1"/>
  <c r="F1642" i="1" a="1"/>
  <c r="F1642" i="1" s="1"/>
  <c r="G1640" i="1" a="1"/>
  <c r="G1640" i="1" s="1"/>
  <c r="H1625" i="1" a="1"/>
  <c r="H1625" i="1" s="1"/>
  <c r="H1641" i="1" a="1"/>
  <c r="H1641" i="1" s="1"/>
  <c r="F1641" i="1" a="1"/>
  <c r="F1641" i="1" s="1"/>
  <c r="G1626" i="1" a="1"/>
  <c r="G1626" i="1" s="1"/>
  <c r="K1627" i="1" a="1"/>
  <c r="K1627" i="1" s="1"/>
  <c r="F1640" i="1" a="1"/>
  <c r="F1640" i="1" s="1"/>
  <c r="F1626" i="1" a="1"/>
  <c r="F1626" i="1" s="1"/>
  <c r="J1625" i="1" a="1"/>
  <c r="J1625" i="1" s="1"/>
  <c r="I1625" i="1" a="1"/>
  <c r="I1625" i="1" s="1"/>
  <c r="G1625" i="1" a="1"/>
  <c r="G1625" i="1" s="1"/>
  <c r="F1625" i="1" a="1"/>
  <c r="F1625" i="1" s="1"/>
  <c r="F1644" i="1" a="1"/>
  <c r="F1644" i="1" s="1"/>
  <c r="K1641" i="1" a="1"/>
  <c r="K1641" i="1" s="1"/>
  <c r="I1640" i="1" a="1"/>
  <c r="I1640" i="1" s="1"/>
  <c r="H1640" i="1" a="1"/>
  <c r="H1640" i="1" s="1"/>
  <c r="G1627" i="1" a="1"/>
  <c r="G1627" i="1" s="1"/>
  <c r="I1624" i="1" a="1"/>
  <c r="I1624" i="1" s="1"/>
  <c r="J1627" i="1" a="1"/>
  <c r="J1627" i="1" s="1"/>
  <c r="I1627" i="1" a="1"/>
  <c r="I1627" i="1" s="1"/>
  <c r="K1624" i="1" a="1"/>
  <c r="K1624" i="1" s="1"/>
  <c r="G1644" i="1" a="1"/>
  <c r="G1644" i="1" s="1"/>
  <c r="K1611" i="1" a="1"/>
  <c r="K1611" i="1" s="1"/>
  <c r="F1622" i="1" a="1"/>
  <c r="F1622" i="1" s="1"/>
  <c r="J1619" i="1" a="1"/>
  <c r="J1619" i="1" s="1"/>
  <c r="G1624" i="1" a="1"/>
  <c r="G1624" i="1" s="1"/>
  <c r="F1624" i="1" a="1"/>
  <c r="F1624" i="1" s="1"/>
  <c r="K1623" i="1" a="1"/>
  <c r="K1623" i="1" s="1"/>
  <c r="I1623" i="1" a="1"/>
  <c r="I1623" i="1" s="1"/>
  <c r="H1619" i="1" a="1"/>
  <c r="H1619" i="1" s="1"/>
  <c r="J1623" i="1" a="1"/>
  <c r="J1623" i="1" s="1"/>
  <c r="H1623" i="1" a="1"/>
  <c r="H1623" i="1" s="1"/>
  <c r="G1610" i="1" a="1"/>
  <c r="G1610" i="1" s="1"/>
  <c r="G1623" i="1" a="1"/>
  <c r="G1623" i="1" s="1"/>
  <c r="G1619" i="1" a="1"/>
  <c r="G1619" i="1" s="1"/>
  <c r="J1620" i="1" a="1"/>
  <c r="J1620" i="1" s="1"/>
  <c r="F1623" i="1" a="1"/>
  <c r="F1623" i="1" s="1"/>
  <c r="K1622" i="1" a="1"/>
  <c r="K1622" i="1" s="1"/>
  <c r="H1610" i="1" a="1"/>
  <c r="H1610" i="1" s="1"/>
  <c r="I1619" i="1" a="1"/>
  <c r="I1619" i="1" s="1"/>
  <c r="G1622" i="1" a="1"/>
  <c r="G1622" i="1" s="1"/>
  <c r="I1621" i="1" a="1"/>
  <c r="I1621" i="1" s="1"/>
  <c r="G1620" i="1" a="1"/>
  <c r="G1620" i="1" s="1"/>
  <c r="H1621" i="1" a="1"/>
  <c r="H1621" i="1" s="1"/>
  <c r="J1621" i="1" a="1"/>
  <c r="J1621" i="1" s="1"/>
  <c r="F1621" i="1" a="1"/>
  <c r="F1621" i="1" s="1"/>
  <c r="F1620" i="1" a="1"/>
  <c r="F1620" i="1" s="1"/>
  <c r="G1617" i="1" a="1"/>
  <c r="G1617" i="1" s="1"/>
  <c r="J1610" i="1" a="1"/>
  <c r="J1610" i="1" s="1"/>
  <c r="J1611" i="1" a="1"/>
  <c r="J1611" i="1" s="1"/>
  <c r="K1617" i="1" a="1"/>
  <c r="K1617" i="1" s="1"/>
  <c r="H1611" i="1" a="1"/>
  <c r="H1611" i="1" s="1"/>
  <c r="J1622" i="1" a="1"/>
  <c r="J1622" i="1" s="1"/>
  <c r="I1622" i="1" a="1"/>
  <c r="I1622" i="1" s="1"/>
  <c r="I1620" i="1" a="1"/>
  <c r="I1620" i="1" s="1"/>
  <c r="J1617" i="1" a="1"/>
  <c r="J1617" i="1" s="1"/>
  <c r="H1617" i="1" a="1"/>
  <c r="H1617" i="1" s="1"/>
  <c r="I1611" i="1" a="1"/>
  <c r="I1611" i="1" s="1"/>
  <c r="G1611" i="1" a="1"/>
  <c r="G1611" i="1" s="1"/>
  <c r="K1621" i="1" a="1"/>
  <c r="K1621" i="1" s="1"/>
  <c r="G1621" i="1" a="1"/>
  <c r="G1621" i="1" s="1"/>
  <c r="I1610" i="1" a="1"/>
  <c r="I1610" i="1" s="1"/>
  <c r="K1619" i="1" a="1"/>
  <c r="K1619" i="1" s="1"/>
  <c r="I1617" i="1" a="1"/>
  <c r="I1617" i="1" s="1"/>
  <c r="F1611" i="1" a="1"/>
  <c r="F1611" i="1" s="1"/>
  <c r="F1619" i="1" a="1"/>
  <c r="F1619" i="1" s="1"/>
  <c r="H1622" i="1" a="1"/>
  <c r="H1622" i="1" s="1"/>
  <c r="K1620" i="1" a="1"/>
  <c r="K1620" i="1" s="1"/>
  <c r="K1610" i="1" a="1"/>
  <c r="K1610" i="1" s="1"/>
  <c r="H1624" i="1" a="1"/>
  <c r="H1624" i="1" s="1"/>
  <c r="H1620" i="1" a="1"/>
  <c r="H1620" i="1" s="1"/>
  <c r="F1617" i="1" a="1"/>
  <c r="F1617" i="1" s="1"/>
  <c r="F1594" i="1" a="1"/>
  <c r="F1594" i="1" s="1"/>
  <c r="J1594" i="1" a="1"/>
  <c r="J1594" i="1" s="1"/>
  <c r="H1596" i="1" a="1"/>
  <c r="H1596" i="1" s="1"/>
  <c r="H1594" i="1" a="1"/>
  <c r="H1594" i="1" s="1"/>
  <c r="H1602" i="1" a="1"/>
  <c r="H1602" i="1" s="1"/>
  <c r="K1603" i="1" a="1"/>
  <c r="K1603" i="1" s="1"/>
  <c r="G1602" i="1" a="1"/>
  <c r="G1602" i="1" s="1"/>
  <c r="G1594" i="1" a="1"/>
  <c r="G1594" i="1" s="1"/>
  <c r="K1596" i="1" a="1"/>
  <c r="K1596" i="1" s="1"/>
  <c r="I1596" i="1" a="1"/>
  <c r="I1596" i="1" s="1"/>
  <c r="I1594" i="1" a="1"/>
  <c r="I1594" i="1" s="1"/>
  <c r="G1596" i="1" a="1"/>
  <c r="G1596" i="1" s="1"/>
  <c r="K1594" i="1" a="1"/>
  <c r="K1594" i="1" s="1"/>
  <c r="J1603" i="1" a="1"/>
  <c r="J1603" i="1" s="1"/>
  <c r="J1596" i="1" a="1"/>
  <c r="J1596" i="1" s="1"/>
  <c r="F1593" i="1" a="1"/>
  <c r="F1593" i="1" s="1"/>
  <c r="K1593" i="1" a="1"/>
  <c r="K1593" i="1" s="1"/>
  <c r="J1609" i="1" a="1"/>
  <c r="J1609" i="1" s="1"/>
  <c r="H1609" i="1" a="1"/>
  <c r="H1609" i="1" s="1"/>
  <c r="G1609" i="1" a="1"/>
  <c r="G1609" i="1" s="1"/>
  <c r="I1602" i="1" a="1"/>
  <c r="I1602" i="1" s="1"/>
  <c r="F1602" i="1" a="1"/>
  <c r="F1602" i="1" s="1"/>
  <c r="I1603" i="1" a="1"/>
  <c r="I1603" i="1" s="1"/>
  <c r="G1603" i="1" a="1"/>
  <c r="G1603" i="1" s="1"/>
  <c r="K1602" i="1" a="1"/>
  <c r="K1602" i="1" s="1"/>
  <c r="J1602" i="1" a="1"/>
  <c r="J1602" i="1" s="1"/>
  <c r="H1593" i="1" a="1"/>
  <c r="H1593" i="1" s="1"/>
  <c r="H1603" i="1" a="1"/>
  <c r="H1603" i="1" s="1"/>
  <c r="F1603" i="1" a="1"/>
  <c r="F1603" i="1" s="1"/>
  <c r="F1596" i="1" a="1"/>
  <c r="F1596" i="1" s="1"/>
  <c r="J1593" i="1" a="1"/>
  <c r="J1593" i="1" s="1"/>
  <c r="I1593" i="1" a="1"/>
  <c r="I1593" i="1" s="1"/>
  <c r="G1593" i="1" a="1"/>
  <c r="G1593" i="1" s="1"/>
  <c r="F1610" i="1" a="1"/>
  <c r="F1610" i="1" s="1"/>
  <c r="K1609" i="1" a="1"/>
  <c r="K1609" i="1" s="1"/>
  <c r="I1609" i="1" a="1"/>
  <c r="I1609" i="1" s="1"/>
  <c r="F1609" i="1" a="1"/>
  <c r="F1609" i="1" s="1"/>
  <c r="J1579" i="1" a="1"/>
  <c r="J1579" i="1" s="1"/>
  <c r="G1579" i="1" a="1"/>
  <c r="G1579" i="1" s="1"/>
  <c r="K1576" i="1" a="1"/>
  <c r="K1576" i="1" s="1"/>
  <c r="H1574" i="1" a="1"/>
  <c r="H1574" i="1" s="1"/>
  <c r="I1576" i="1" a="1"/>
  <c r="I1576" i="1" s="1"/>
  <c r="H1579" i="1" a="1"/>
  <c r="H1579" i="1" s="1"/>
  <c r="J1580" i="1" a="1"/>
  <c r="J1580" i="1" s="1"/>
  <c r="G1580" i="1" a="1"/>
  <c r="G1580" i="1" s="1"/>
  <c r="I1579" i="1" a="1"/>
  <c r="I1579" i="1" s="1"/>
  <c r="H1577" i="1" a="1"/>
  <c r="H1577" i="1" s="1"/>
  <c r="I1575" i="1" a="1"/>
  <c r="I1575" i="1" s="1"/>
  <c r="I1574" i="1" a="1"/>
  <c r="I1574" i="1" s="1"/>
  <c r="K1574" i="1" a="1"/>
  <c r="K1574" i="1" s="1"/>
  <c r="J1576" i="1" a="1"/>
  <c r="J1576" i="1" s="1"/>
  <c r="F1577" i="1" a="1"/>
  <c r="F1577" i="1" s="1"/>
  <c r="K1578" i="1" a="1"/>
  <c r="K1578" i="1" s="1"/>
  <c r="J1577" i="1" a="1"/>
  <c r="J1577" i="1" s="1"/>
  <c r="H1578" i="1" a="1"/>
  <c r="H1578" i="1" s="1"/>
  <c r="K1577" i="1" a="1"/>
  <c r="K1577" i="1" s="1"/>
  <c r="G1577" i="1" a="1"/>
  <c r="G1577" i="1" s="1"/>
  <c r="F1575" i="1" a="1"/>
  <c r="F1575" i="1" s="1"/>
  <c r="F1579" i="1" a="1"/>
  <c r="F1579" i="1" s="1"/>
  <c r="F1578" i="1" a="1"/>
  <c r="F1578" i="1" s="1"/>
  <c r="J1578" i="1" a="1"/>
  <c r="J1578" i="1" s="1"/>
  <c r="J1574" i="1" a="1"/>
  <c r="J1574" i="1" s="1"/>
  <c r="H1575" i="1" a="1"/>
  <c r="H1575" i="1" s="1"/>
  <c r="H1576" i="1" a="1"/>
  <c r="H1576" i="1" s="1"/>
  <c r="K1575" i="1" a="1"/>
  <c r="K1575" i="1" s="1"/>
  <c r="K1579" i="1" a="1"/>
  <c r="K1579" i="1" s="1"/>
  <c r="H1580" i="1" a="1"/>
  <c r="H1580" i="1" s="1"/>
  <c r="F1576" i="1" a="1"/>
  <c r="F1576" i="1" s="1"/>
  <c r="I1580" i="1" a="1"/>
  <c r="I1580" i="1" s="1"/>
  <c r="F1580" i="1" a="1"/>
  <c r="F1580" i="1" s="1"/>
  <c r="G1578" i="1" a="1"/>
  <c r="G1578" i="1" s="1"/>
  <c r="I1578" i="1" a="1"/>
  <c r="I1578" i="1" s="1"/>
  <c r="G1576" i="1" a="1"/>
  <c r="G1576" i="1" s="1"/>
  <c r="J1575" i="1" a="1"/>
  <c r="J1575" i="1" s="1"/>
  <c r="K1580" i="1" a="1"/>
  <c r="K1580" i="1" s="1"/>
  <c r="I1577" i="1" a="1"/>
  <c r="I1577" i="1" s="1"/>
  <c r="G1575" i="1" a="1"/>
  <c r="G1575" i="1" s="1"/>
  <c r="F1564" i="1" a="1"/>
  <c r="F1564" i="1" s="1"/>
  <c r="F1573" i="1" a="1"/>
  <c r="F1573" i="1" s="1"/>
  <c r="I1572" i="1" a="1"/>
  <c r="I1572" i="1" s="1"/>
  <c r="H1563" i="1" a="1"/>
  <c r="H1563" i="1" s="1"/>
  <c r="J1570" i="1" a="1"/>
  <c r="J1570" i="1" s="1"/>
  <c r="H1572" i="1" a="1"/>
  <c r="H1572" i="1" s="1"/>
  <c r="G1570" i="1" a="1"/>
  <c r="G1570" i="1" s="1"/>
  <c r="F1563" i="1" a="1"/>
  <c r="F1563" i="1" s="1"/>
  <c r="I1563" i="1" a="1"/>
  <c r="I1563" i="1" s="1"/>
  <c r="K1563" i="1" a="1"/>
  <c r="K1563" i="1" s="1"/>
  <c r="I1556" i="1" a="1"/>
  <c r="I1556" i="1" s="1"/>
  <c r="H1564" i="1" a="1"/>
  <c r="H1564" i="1" s="1"/>
  <c r="F1562" i="1" a="1"/>
  <c r="F1562" i="1" s="1"/>
  <c r="G1562" i="1" a="1"/>
  <c r="G1562" i="1" s="1"/>
  <c r="G1574" i="1" a="1"/>
  <c r="G1574" i="1" s="1"/>
  <c r="G1556" i="1" a="1"/>
  <c r="G1556" i="1" s="1"/>
  <c r="F1574" i="1" a="1"/>
  <c r="F1574" i="1" s="1"/>
  <c r="K1573" i="1" a="1"/>
  <c r="K1573" i="1" s="1"/>
  <c r="J1573" i="1" a="1"/>
  <c r="J1573" i="1" s="1"/>
  <c r="I1562" i="1" a="1"/>
  <c r="I1562" i="1" s="1"/>
  <c r="I1573" i="1" a="1"/>
  <c r="I1573" i="1" s="1"/>
  <c r="K1572" i="1" a="1"/>
  <c r="K1572" i="1" s="1"/>
  <c r="F1572" i="1" a="1"/>
  <c r="F1572" i="1" s="1"/>
  <c r="I1564" i="1" a="1"/>
  <c r="I1564" i="1" s="1"/>
  <c r="G1563" i="1" a="1"/>
  <c r="G1563" i="1" s="1"/>
  <c r="H1570" i="1" a="1"/>
  <c r="H1570" i="1" s="1"/>
  <c r="I1570" i="1" a="1"/>
  <c r="I1570" i="1" s="1"/>
  <c r="F1556" i="1" a="1"/>
  <c r="F1556" i="1" s="1"/>
  <c r="J1563" i="1" a="1"/>
  <c r="J1563" i="1" s="1"/>
  <c r="G1564" i="1" a="1"/>
  <c r="G1564" i="1" s="1"/>
  <c r="K1555" i="1" a="1"/>
  <c r="K1555" i="1" s="1"/>
  <c r="J1556" i="1" a="1"/>
  <c r="J1556" i="1" s="1"/>
  <c r="K1562" i="1" a="1"/>
  <c r="K1562" i="1" s="1"/>
  <c r="H1556" i="1" a="1"/>
  <c r="H1556" i="1" s="1"/>
  <c r="H1573" i="1" a="1"/>
  <c r="H1573" i="1" s="1"/>
  <c r="J1572" i="1" a="1"/>
  <c r="J1572" i="1" s="1"/>
  <c r="G1572" i="1" a="1"/>
  <c r="G1572" i="1" s="1"/>
  <c r="F1570" i="1" a="1"/>
  <c r="F1570" i="1" s="1"/>
  <c r="J1562" i="1" a="1"/>
  <c r="J1562" i="1" s="1"/>
  <c r="K1556" i="1" a="1"/>
  <c r="K1556" i="1" s="1"/>
  <c r="J1564" i="1" a="1"/>
  <c r="J1564" i="1" s="1"/>
  <c r="G1573" i="1" a="1"/>
  <c r="G1573" i="1" s="1"/>
  <c r="K1570" i="1" a="1"/>
  <c r="K1570" i="1" s="1"/>
  <c r="K1564" i="1" a="1"/>
  <c r="K1564" i="1" s="1"/>
  <c r="H1562" i="1" a="1"/>
  <c r="H1562" i="1" s="1"/>
  <c r="K1547" i="1" a="1"/>
  <c r="K1547" i="1" s="1"/>
  <c r="J1528" i="1" a="1"/>
  <c r="J1528" i="1" s="1"/>
  <c r="I1547" i="1" a="1"/>
  <c r="I1547" i="1" s="1"/>
  <c r="H1529" i="1" a="1"/>
  <c r="H1529" i="1" s="1"/>
  <c r="G1555" i="1" a="1"/>
  <c r="G1555" i="1" s="1"/>
  <c r="F1549" i="1" a="1"/>
  <c r="F1549" i="1" s="1"/>
  <c r="I1546" i="1" a="1"/>
  <c r="I1546" i="1" s="1"/>
  <c r="I1528" i="1" a="1"/>
  <c r="I1528" i="1" s="1"/>
  <c r="F1527" i="1" a="1"/>
  <c r="F1527" i="1" s="1"/>
  <c r="K1546" i="1" a="1"/>
  <c r="K1546" i="1" s="1"/>
  <c r="K1527" i="1" a="1"/>
  <c r="K1527" i="1" s="1"/>
  <c r="I1549" i="1" a="1"/>
  <c r="I1549" i="1" s="1"/>
  <c r="F1546" i="1" a="1"/>
  <c r="F1546" i="1" s="1"/>
  <c r="J1526" i="1" a="1"/>
  <c r="J1526" i="1" s="1"/>
  <c r="H1549" i="1" a="1"/>
  <c r="H1549" i="1" s="1"/>
  <c r="K1528" i="1" a="1"/>
  <c r="K1528" i="1" s="1"/>
  <c r="G1547" i="1" a="1"/>
  <c r="G1547" i="1" s="1"/>
  <c r="J1527" i="1" a="1"/>
  <c r="J1527" i="1" s="1"/>
  <c r="G1527" i="1" a="1"/>
  <c r="G1527" i="1" s="1"/>
  <c r="I1529" i="1" a="1"/>
  <c r="I1529" i="1" s="1"/>
  <c r="I1527" i="1" a="1"/>
  <c r="I1527" i="1" s="1"/>
  <c r="I1526" i="1" a="1"/>
  <c r="I1526" i="1" s="1"/>
  <c r="F1528" i="1" a="1"/>
  <c r="F1528" i="1" s="1"/>
  <c r="J1547" i="1" a="1"/>
  <c r="J1547" i="1" s="1"/>
  <c r="K1549" i="1" a="1"/>
  <c r="K1549" i="1" s="1"/>
  <c r="K1526" i="1" a="1"/>
  <c r="K1526" i="1" s="1"/>
  <c r="G1546" i="1" a="1"/>
  <c r="G1546" i="1" s="1"/>
  <c r="H1546" i="1" a="1"/>
  <c r="H1546" i="1" s="1"/>
  <c r="I1555" i="1" a="1"/>
  <c r="I1555" i="1" s="1"/>
  <c r="F1555" i="1" a="1"/>
  <c r="F1555" i="1" s="1"/>
  <c r="H1547" i="1" a="1"/>
  <c r="H1547" i="1" s="1"/>
  <c r="J1546" i="1" a="1"/>
  <c r="J1546" i="1" s="1"/>
  <c r="G1549" i="1" a="1"/>
  <c r="G1549" i="1" s="1"/>
  <c r="F1547" i="1" a="1"/>
  <c r="F1547" i="1" s="1"/>
  <c r="F1529" i="1" a="1"/>
  <c r="F1529" i="1" s="1"/>
  <c r="K1529" i="1" a="1"/>
  <c r="K1529" i="1" s="1"/>
  <c r="H1527" i="1" a="1"/>
  <c r="H1527" i="1" s="1"/>
  <c r="H1528" i="1" a="1"/>
  <c r="H1528" i="1" s="1"/>
  <c r="J1529" i="1" a="1"/>
  <c r="J1529" i="1" s="1"/>
  <c r="G1528" i="1" a="1"/>
  <c r="G1528" i="1" s="1"/>
  <c r="G1529" i="1" a="1"/>
  <c r="G1529" i="1" s="1"/>
  <c r="J1555" i="1" a="1"/>
  <c r="J1555" i="1" s="1"/>
  <c r="H1555" i="1" a="1"/>
  <c r="H1555" i="1" s="1"/>
  <c r="J1549" i="1" a="1"/>
  <c r="J1549" i="1" s="1"/>
  <c r="F1517" i="1" a="1"/>
  <c r="F1517" i="1" s="1"/>
  <c r="I1523" i="1" a="1"/>
  <c r="I1523" i="1" s="1"/>
  <c r="H1517" i="1" a="1"/>
  <c r="H1517" i="1" s="1"/>
  <c r="G1526" i="1" a="1"/>
  <c r="G1526" i="1" s="1"/>
  <c r="I1525" i="1" a="1"/>
  <c r="I1525" i="1" s="1"/>
  <c r="I1517" i="1" a="1"/>
  <c r="I1517" i="1" s="1"/>
  <c r="H1525" i="1" a="1"/>
  <c r="H1525" i="1" s="1"/>
  <c r="G1520" i="1" a="1"/>
  <c r="G1520" i="1" s="1"/>
  <c r="G1523" i="1" a="1"/>
  <c r="G1523" i="1" s="1"/>
  <c r="I1521" i="1" a="1"/>
  <c r="I1521" i="1" s="1"/>
  <c r="H1520" i="1" a="1"/>
  <c r="H1520" i="1" s="1"/>
  <c r="G1519" i="1" a="1"/>
  <c r="G1519" i="1" s="1"/>
  <c r="J1517" i="1" a="1"/>
  <c r="J1517" i="1" s="1"/>
  <c r="H1515" i="1" a="1"/>
  <c r="H1515" i="1" s="1"/>
  <c r="F1519" i="1" a="1"/>
  <c r="F1519" i="1" s="1"/>
  <c r="J1518" i="1" a="1"/>
  <c r="J1518" i="1" s="1"/>
  <c r="J1520" i="1" a="1"/>
  <c r="J1520" i="1" s="1"/>
  <c r="I1518" i="1" a="1"/>
  <c r="I1518" i="1" s="1"/>
  <c r="K1524" i="1" a="1"/>
  <c r="K1524" i="1" s="1"/>
  <c r="H1524" i="1" a="1"/>
  <c r="H1524" i="1" s="1"/>
  <c r="G1522" i="1" a="1"/>
  <c r="G1522" i="1" s="1"/>
  <c r="J1523" i="1" a="1"/>
  <c r="J1523" i="1" s="1"/>
  <c r="H1522" i="1" a="1"/>
  <c r="H1522" i="1" s="1"/>
  <c r="H1523" i="1" a="1"/>
  <c r="H1523" i="1" s="1"/>
  <c r="G1518" i="1" a="1"/>
  <c r="G1518" i="1" s="1"/>
  <c r="J1515" i="1" a="1"/>
  <c r="J1515" i="1" s="1"/>
  <c r="F1520" i="1" a="1"/>
  <c r="F1520" i="1" s="1"/>
  <c r="K1520" i="1" a="1"/>
  <c r="K1520" i="1" s="1"/>
  <c r="K1518" i="1" a="1"/>
  <c r="K1518" i="1" s="1"/>
  <c r="K1515" i="1" a="1"/>
  <c r="K1515" i="1" s="1"/>
  <c r="G1525" i="1" a="1"/>
  <c r="G1525" i="1" s="1"/>
  <c r="K1519" i="1" a="1"/>
  <c r="K1519" i="1" s="1"/>
  <c r="G1517" i="1" a="1"/>
  <c r="G1517" i="1" s="1"/>
  <c r="F1524" i="1" a="1"/>
  <c r="F1524" i="1" s="1"/>
  <c r="I1522" i="1" a="1"/>
  <c r="I1522" i="1" s="1"/>
  <c r="H1526" i="1" a="1"/>
  <c r="H1526" i="1" s="1"/>
  <c r="F1526" i="1" a="1"/>
  <c r="F1526" i="1" s="1"/>
  <c r="K1525" i="1" a="1"/>
  <c r="K1525" i="1" s="1"/>
  <c r="J1525" i="1" a="1"/>
  <c r="J1525" i="1" s="1"/>
  <c r="I1520" i="1" a="1"/>
  <c r="I1520" i="1" s="1"/>
  <c r="F1525" i="1" a="1"/>
  <c r="F1525" i="1" s="1"/>
  <c r="I1524" i="1" a="1"/>
  <c r="I1524" i="1" s="1"/>
  <c r="K1521" i="1" a="1"/>
  <c r="K1521" i="1" s="1"/>
  <c r="J1524" i="1" a="1"/>
  <c r="J1524" i="1" s="1"/>
  <c r="G1524" i="1" a="1"/>
  <c r="G1524" i="1" s="1"/>
  <c r="G1521" i="1" a="1"/>
  <c r="G1521" i="1" s="1"/>
  <c r="F1518" i="1" a="1"/>
  <c r="F1518" i="1" s="1"/>
  <c r="F1521" i="1" a="1"/>
  <c r="F1521" i="1" s="1"/>
  <c r="K1523" i="1" a="1"/>
  <c r="K1523" i="1" s="1"/>
  <c r="F1523" i="1" a="1"/>
  <c r="F1523" i="1" s="1"/>
  <c r="J1521" i="1" a="1"/>
  <c r="J1521" i="1" s="1"/>
  <c r="F1522" i="1" a="1"/>
  <c r="F1522" i="1" s="1"/>
  <c r="K1522" i="1" a="1"/>
  <c r="K1522" i="1" s="1"/>
  <c r="J1519" i="1" a="1"/>
  <c r="J1519" i="1" s="1"/>
  <c r="H1521" i="1" a="1"/>
  <c r="H1521" i="1" s="1"/>
  <c r="J1522" i="1" a="1"/>
  <c r="J1522" i="1" s="1"/>
  <c r="H1518" i="1" a="1"/>
  <c r="H1518" i="1" s="1"/>
  <c r="I1519" i="1" a="1"/>
  <c r="I1519" i="1" s="1"/>
  <c r="H1519" i="1" a="1"/>
  <c r="H1519" i="1" s="1"/>
  <c r="K1517" i="1" a="1"/>
  <c r="K1517" i="1" s="1"/>
  <c r="I1515" i="1" a="1"/>
  <c r="I1515" i="1" s="1"/>
  <c r="H1514" i="1" a="1"/>
  <c r="H1514" i="1" s="1"/>
  <c r="K1503" i="1" a="1"/>
  <c r="K1503" i="1" s="1"/>
  <c r="G1513" i="1" a="1"/>
  <c r="G1513" i="1" s="1"/>
  <c r="F1514" i="1" a="1"/>
  <c r="F1514" i="1" s="1"/>
  <c r="G1514" i="1" a="1"/>
  <c r="G1514" i="1" s="1"/>
  <c r="H1513" i="1" a="1"/>
  <c r="H1513" i="1" s="1"/>
  <c r="F1513" i="1" a="1"/>
  <c r="F1513" i="1" s="1"/>
  <c r="J1504" i="1" a="1"/>
  <c r="J1504" i="1" s="1"/>
  <c r="J1512" i="1" a="1"/>
  <c r="J1512" i="1" s="1"/>
  <c r="F1505" i="1" a="1"/>
  <c r="F1505" i="1" s="1"/>
  <c r="H1512" i="1" a="1"/>
  <c r="H1512" i="1" s="1"/>
  <c r="H1503" i="1" a="1"/>
  <c r="H1503" i="1" s="1"/>
  <c r="K1511" i="1" a="1"/>
  <c r="K1511" i="1" s="1"/>
  <c r="H1511" i="1" a="1"/>
  <c r="H1511" i="1" s="1"/>
  <c r="G1511" i="1" a="1"/>
  <c r="G1511" i="1" s="1"/>
  <c r="K1502" i="1" a="1"/>
  <c r="K1502" i="1" s="1"/>
  <c r="J1503" i="1" a="1"/>
  <c r="J1503" i="1" s="1"/>
  <c r="I1503" i="1" a="1"/>
  <c r="I1503" i="1" s="1"/>
  <c r="G1505" i="1" a="1"/>
  <c r="G1505" i="1" s="1"/>
  <c r="K1505" i="1" a="1"/>
  <c r="K1505" i="1" s="1"/>
  <c r="I1505" i="1" a="1"/>
  <c r="I1505" i="1" s="1"/>
  <c r="G1504" i="1" a="1"/>
  <c r="G1504" i="1" s="1"/>
  <c r="K1513" i="1" a="1"/>
  <c r="K1513" i="1" s="1"/>
  <c r="G1512" i="1" a="1"/>
  <c r="G1512" i="1" s="1"/>
  <c r="G1503" i="1" a="1"/>
  <c r="G1503" i="1" s="1"/>
  <c r="G1515" i="1" a="1"/>
  <c r="G1515" i="1" s="1"/>
  <c r="F1515" i="1" a="1"/>
  <c r="F1515" i="1" s="1"/>
  <c r="F1504" i="1" a="1"/>
  <c r="F1504" i="1" s="1"/>
  <c r="K1514" i="1" a="1"/>
  <c r="K1514" i="1" s="1"/>
  <c r="K1512" i="1" a="1"/>
  <c r="K1512" i="1" s="1"/>
  <c r="J1511" i="1" a="1"/>
  <c r="J1511" i="1" s="1"/>
  <c r="K1504" i="1" a="1"/>
  <c r="K1504" i="1" s="1"/>
  <c r="H1504" i="1" a="1"/>
  <c r="H1504" i="1" s="1"/>
  <c r="I1504" i="1" a="1"/>
  <c r="I1504" i="1" s="1"/>
  <c r="I1512" i="1" a="1"/>
  <c r="I1512" i="1" s="1"/>
  <c r="F1512" i="1" a="1"/>
  <c r="F1512" i="1" s="1"/>
  <c r="I1511" i="1" a="1"/>
  <c r="I1511" i="1" s="1"/>
  <c r="F1511" i="1" a="1"/>
  <c r="F1511" i="1" s="1"/>
  <c r="H1505" i="1" a="1"/>
  <c r="H1505" i="1" s="1"/>
  <c r="J1502" i="1" a="1"/>
  <c r="J1502" i="1" s="1"/>
  <c r="J1514" i="1" a="1"/>
  <c r="J1514" i="1" s="1"/>
  <c r="J1505" i="1" a="1"/>
  <c r="J1505" i="1" s="1"/>
  <c r="I1513" i="1" a="1"/>
  <c r="I1513" i="1" s="1"/>
  <c r="J1513" i="1" a="1"/>
  <c r="J1513" i="1" s="1"/>
  <c r="F1503" i="1" a="1"/>
  <c r="F1503" i="1" s="1"/>
  <c r="I1514" i="1" a="1"/>
  <c r="I1514" i="1" s="1"/>
  <c r="I1499" i="1" a="1"/>
  <c r="I1499" i="1" s="1"/>
  <c r="H1500" i="1" a="1"/>
  <c r="H1500" i="1" s="1"/>
  <c r="F1500" i="1" a="1"/>
  <c r="F1500" i="1" s="1"/>
  <c r="F1499" i="1" a="1"/>
  <c r="F1499" i="1" s="1"/>
  <c r="F1498" i="1" a="1"/>
  <c r="F1498" i="1" s="1"/>
  <c r="G1498" i="1" a="1"/>
  <c r="G1498" i="1" s="1"/>
  <c r="H1499" i="1" a="1"/>
  <c r="H1499" i="1" s="1"/>
  <c r="G1499" i="1" a="1"/>
  <c r="G1499" i="1" s="1"/>
  <c r="K1498" i="1" a="1"/>
  <c r="K1498" i="1" s="1"/>
  <c r="J1498" i="1" a="1"/>
  <c r="J1498" i="1" s="1"/>
  <c r="H1490" i="1" a="1"/>
  <c r="H1490" i="1" s="1"/>
  <c r="H1498" i="1" a="1"/>
  <c r="H1498" i="1" s="1"/>
  <c r="H1492" i="1" a="1"/>
  <c r="H1492" i="1" s="1"/>
  <c r="J1497" i="1" a="1"/>
  <c r="J1497" i="1" s="1"/>
  <c r="H1497" i="1" a="1"/>
  <c r="H1497" i="1" s="1"/>
  <c r="I1492" i="1" a="1"/>
  <c r="I1492" i="1" s="1"/>
  <c r="G1500" i="1" a="1"/>
  <c r="G1500" i="1" s="1"/>
  <c r="G1497" i="1" a="1"/>
  <c r="G1497" i="1" s="1"/>
  <c r="F1492" i="1" a="1"/>
  <c r="F1492" i="1" s="1"/>
  <c r="F1490" i="1" a="1"/>
  <c r="F1490" i="1" s="1"/>
  <c r="I1502" i="1" a="1"/>
  <c r="I1502" i="1" s="1"/>
  <c r="G1490" i="1" a="1"/>
  <c r="G1490" i="1" s="1"/>
  <c r="H1502" i="1" a="1"/>
  <c r="H1502" i="1" s="1"/>
  <c r="J1500" i="1" a="1"/>
  <c r="J1500" i="1" s="1"/>
  <c r="G1502" i="1" a="1"/>
  <c r="G1502" i="1" s="1"/>
  <c r="F1502" i="1" a="1"/>
  <c r="F1502" i="1" s="1"/>
  <c r="I1500" i="1" a="1"/>
  <c r="I1500" i="1" s="1"/>
  <c r="I1497" i="1" a="1"/>
  <c r="I1497" i="1" s="1"/>
  <c r="K1492" i="1" a="1"/>
  <c r="K1492" i="1" s="1"/>
  <c r="J1492" i="1" a="1"/>
  <c r="J1492" i="1" s="1"/>
  <c r="K1499" i="1" a="1"/>
  <c r="K1499" i="1" s="1"/>
  <c r="F1497" i="1" a="1"/>
  <c r="F1497" i="1" s="1"/>
  <c r="J1490" i="1" a="1"/>
  <c r="J1490" i="1" s="1"/>
  <c r="I1490" i="1" a="1"/>
  <c r="I1490" i="1" s="1"/>
  <c r="G1492" i="1" a="1"/>
  <c r="G1492" i="1" s="1"/>
  <c r="K1497" i="1" a="1"/>
  <c r="K1497" i="1" s="1"/>
  <c r="I1498" i="1" a="1"/>
  <c r="I1498" i="1" s="1"/>
  <c r="K1490" i="1" a="1"/>
  <c r="K1490" i="1" s="1"/>
  <c r="K1500" i="1" a="1"/>
  <c r="K1500" i="1" s="1"/>
  <c r="J1499" i="1" a="1"/>
  <c r="J1499" i="1" s="1"/>
  <c r="F1483" i="1" a="1"/>
  <c r="F1483" i="1" s="1"/>
  <c r="G1454" i="1" a="1"/>
  <c r="G1454" i="1" s="1"/>
  <c r="H1454" i="1" a="1"/>
  <c r="H1454" i="1" s="1"/>
  <c r="J1454" i="1" a="1"/>
  <c r="J1454" i="1" s="1"/>
  <c r="I1454" i="1" a="1"/>
  <c r="I1454" i="1" s="1"/>
  <c r="I1453" i="1" a="1"/>
  <c r="I1453" i="1" s="1"/>
  <c r="K1483" i="1" a="1"/>
  <c r="K1483" i="1" s="1"/>
  <c r="F1485" i="1" a="1"/>
  <c r="F1485" i="1" s="1"/>
  <c r="J1453" i="1" a="1"/>
  <c r="J1453" i="1" s="1"/>
  <c r="H1455" i="1" a="1"/>
  <c r="H1455" i="1" s="1"/>
  <c r="G1485" i="1" a="1"/>
  <c r="G1485" i="1" s="1"/>
  <c r="J1483" i="1" a="1"/>
  <c r="J1483" i="1" s="1"/>
  <c r="F1455" i="1" a="1"/>
  <c r="F1455" i="1" s="1"/>
  <c r="J1456" i="1" a="1"/>
  <c r="J1456" i="1" s="1"/>
  <c r="G1455" i="1" a="1"/>
  <c r="G1455" i="1" s="1"/>
  <c r="K1455" i="1" a="1"/>
  <c r="K1455" i="1" s="1"/>
  <c r="H1483" i="1" a="1"/>
  <c r="H1483" i="1" s="1"/>
  <c r="G1483" i="1" a="1"/>
  <c r="G1483" i="1" s="1"/>
  <c r="F1454" i="1" a="1"/>
  <c r="F1454" i="1" s="1"/>
  <c r="I1456" i="1" a="1"/>
  <c r="I1456" i="1" s="1"/>
  <c r="I1455" i="1" a="1"/>
  <c r="I1455" i="1" s="1"/>
  <c r="K1454" i="1" a="1"/>
  <c r="K1454" i="1" s="1"/>
  <c r="K1453" i="1" a="1"/>
  <c r="K1453" i="1" s="1"/>
  <c r="F1456" i="1" a="1"/>
  <c r="F1456" i="1" s="1"/>
  <c r="H1456" i="1" a="1"/>
  <c r="H1456" i="1" s="1"/>
  <c r="J1455" i="1" a="1"/>
  <c r="J1455" i="1" s="1"/>
  <c r="G1456" i="1" a="1"/>
  <c r="G1456" i="1" s="1"/>
  <c r="K1485" i="1" a="1"/>
  <c r="K1485" i="1" s="1"/>
  <c r="J1485" i="1" a="1"/>
  <c r="J1485" i="1" s="1"/>
  <c r="K1456" i="1" a="1"/>
  <c r="K1456" i="1" s="1"/>
  <c r="I1485" i="1" a="1"/>
  <c r="I1485" i="1" s="1"/>
  <c r="H1485" i="1" a="1"/>
  <c r="H1485" i="1" s="1"/>
  <c r="I1483" i="1" a="1"/>
  <c r="I1483" i="1" s="1"/>
  <c r="H1449" i="1" a="1"/>
  <c r="H1449" i="1" s="1"/>
  <c r="G1446" i="1" a="1"/>
  <c r="G1446" i="1" s="1"/>
  <c r="H1450" i="1" a="1"/>
  <c r="H1450" i="1" s="1"/>
  <c r="G1450" i="1" a="1"/>
  <c r="G1450" i="1" s="1"/>
  <c r="F1450" i="1" a="1"/>
  <c r="F1450" i="1" s="1"/>
  <c r="F1449" i="1" a="1"/>
  <c r="F1449" i="1" s="1"/>
  <c r="I1446" i="1" a="1"/>
  <c r="I1446" i="1" s="1"/>
  <c r="K1445" i="1" a="1"/>
  <c r="K1445" i="1" s="1"/>
  <c r="K1446" i="1" a="1"/>
  <c r="K1446" i="1" s="1"/>
  <c r="H1446" i="1" a="1"/>
  <c r="H1446" i="1" s="1"/>
  <c r="G1445" i="1" a="1"/>
  <c r="G1445" i="1" s="1"/>
  <c r="I1443" i="1" a="1"/>
  <c r="I1443" i="1" s="1"/>
  <c r="G1449" i="1" a="1"/>
  <c r="G1449" i="1" s="1"/>
  <c r="J1448" i="1" a="1"/>
  <c r="J1448" i="1" s="1"/>
  <c r="H1448" i="1" a="1"/>
  <c r="H1448" i="1" s="1"/>
  <c r="I1445" i="1" a="1"/>
  <c r="I1445" i="1" s="1"/>
  <c r="H1445" i="1" a="1"/>
  <c r="H1445" i="1" s="1"/>
  <c r="K1442" i="1" a="1"/>
  <c r="K1442" i="1" s="1"/>
  <c r="J1443" i="1" a="1"/>
  <c r="J1443" i="1" s="1"/>
  <c r="J1447" i="1" a="1"/>
  <c r="J1447" i="1" s="1"/>
  <c r="H1447" i="1" a="1"/>
  <c r="H1447" i="1" s="1"/>
  <c r="G1443" i="1" a="1"/>
  <c r="G1443" i="1" s="1"/>
  <c r="F1446" i="1" a="1"/>
  <c r="F1446" i="1" s="1"/>
  <c r="K1444" i="1" a="1"/>
  <c r="K1444" i="1" s="1"/>
  <c r="I1444" i="1" a="1"/>
  <c r="I1444" i="1" s="1"/>
  <c r="G1444" i="1" a="1"/>
  <c r="G1444" i="1" s="1"/>
  <c r="J1450" i="1" a="1"/>
  <c r="J1450" i="1" s="1"/>
  <c r="J1445" i="1" a="1"/>
  <c r="J1445" i="1" s="1"/>
  <c r="G1448" i="1" a="1"/>
  <c r="G1448" i="1" s="1"/>
  <c r="K1447" i="1" a="1"/>
  <c r="K1447" i="1" s="1"/>
  <c r="J1444" i="1" a="1"/>
  <c r="J1444" i="1" s="1"/>
  <c r="I1448" i="1" a="1"/>
  <c r="I1448" i="1" s="1"/>
  <c r="F1443" i="1" a="1"/>
  <c r="F1443" i="1" s="1"/>
  <c r="K1449" i="1" a="1"/>
  <c r="K1449" i="1" s="1"/>
  <c r="G1452" i="1" a="1"/>
  <c r="G1452" i="1" s="1"/>
  <c r="K1448" i="1" a="1"/>
  <c r="K1448" i="1" s="1"/>
  <c r="F1447" i="1" a="1"/>
  <c r="F1447" i="1" s="1"/>
  <c r="H1443" i="1" a="1"/>
  <c r="H1443" i="1" s="1"/>
  <c r="H1453" i="1" a="1"/>
  <c r="H1453" i="1" s="1"/>
  <c r="J1446" i="1" a="1"/>
  <c r="J1446" i="1" s="1"/>
  <c r="F1445" i="1" a="1"/>
  <c r="F1445" i="1" s="1"/>
  <c r="G1453" i="1" a="1"/>
  <c r="G1453" i="1" s="1"/>
  <c r="F1452" i="1" a="1"/>
  <c r="F1452" i="1" s="1"/>
  <c r="I1447" i="1" a="1"/>
  <c r="I1447" i="1" s="1"/>
  <c r="H1444" i="1" a="1"/>
  <c r="H1444" i="1" s="1"/>
  <c r="F1453" i="1" a="1"/>
  <c r="F1453" i="1" s="1"/>
  <c r="K1443" i="1" a="1"/>
  <c r="K1443" i="1" s="1"/>
  <c r="K1452" i="1" a="1"/>
  <c r="K1452" i="1" s="1"/>
  <c r="J1452" i="1" a="1"/>
  <c r="J1452" i="1" s="1"/>
  <c r="I1452" i="1" a="1"/>
  <c r="I1452" i="1" s="1"/>
  <c r="J1451" i="1" a="1"/>
  <c r="J1451" i="1" s="1"/>
  <c r="G1447" i="1" a="1"/>
  <c r="G1447" i="1" s="1"/>
  <c r="F1444" i="1" a="1"/>
  <c r="F1444" i="1" s="1"/>
  <c r="I1451" i="1" a="1"/>
  <c r="I1451" i="1" s="1"/>
  <c r="H1452" i="1" a="1"/>
  <c r="H1452" i="1" s="1"/>
  <c r="J1449" i="1" a="1"/>
  <c r="J1449" i="1" s="1"/>
  <c r="K1451" i="1" a="1"/>
  <c r="K1451" i="1" s="1"/>
  <c r="H1451" i="1" a="1"/>
  <c r="H1451" i="1" s="1"/>
  <c r="G1451" i="1" a="1"/>
  <c r="G1451" i="1" s="1"/>
  <c r="F1451" i="1" a="1"/>
  <c r="F1451" i="1" s="1"/>
  <c r="K1450" i="1" a="1"/>
  <c r="K1450" i="1" s="1"/>
  <c r="I1450" i="1" a="1"/>
  <c r="I1450" i="1" s="1"/>
  <c r="F1448" i="1" a="1"/>
  <c r="F1448" i="1" s="1"/>
  <c r="I1449" i="1" a="1"/>
  <c r="I1449" i="1" s="1"/>
  <c r="F1441" i="1" a="1"/>
  <c r="F1441" i="1" s="1"/>
  <c r="J1440" i="1" a="1"/>
  <c r="J1440" i="1" s="1"/>
  <c r="K1436" i="1" a="1"/>
  <c r="K1436" i="1" s="1"/>
  <c r="H1434" i="1" a="1"/>
  <c r="H1434" i="1" s="1"/>
  <c r="H1440" i="1" a="1"/>
  <c r="H1440" i="1" s="1"/>
  <c r="G1437" i="1" a="1"/>
  <c r="G1437" i="1" s="1"/>
  <c r="K1438" i="1" a="1"/>
  <c r="K1438" i="1" s="1"/>
  <c r="I1438" i="1" a="1"/>
  <c r="I1438" i="1" s="1"/>
  <c r="J1434" i="1" a="1"/>
  <c r="J1434" i="1" s="1"/>
  <c r="G1436" i="1" a="1"/>
  <c r="G1436" i="1" s="1"/>
  <c r="J1437" i="1" a="1"/>
  <c r="J1437" i="1" s="1"/>
  <c r="F1440" i="1" a="1"/>
  <c r="F1440" i="1" s="1"/>
  <c r="K1439" i="1" a="1"/>
  <c r="K1439" i="1" s="1"/>
  <c r="J1439" i="1" a="1"/>
  <c r="J1439" i="1" s="1"/>
  <c r="G1438" i="1" a="1"/>
  <c r="G1438" i="1" s="1"/>
  <c r="J1436" i="1" a="1"/>
  <c r="J1436" i="1" s="1"/>
  <c r="I1436" i="1" a="1"/>
  <c r="I1436" i="1" s="1"/>
  <c r="J1435" i="1" a="1"/>
  <c r="J1435" i="1" s="1"/>
  <c r="H1435" i="1" a="1"/>
  <c r="H1435" i="1" s="1"/>
  <c r="J1442" i="1" a="1"/>
  <c r="J1442" i="1" s="1"/>
  <c r="I1434" i="1" a="1"/>
  <c r="I1434" i="1" s="1"/>
  <c r="I1442" i="1" a="1"/>
  <c r="I1442" i="1" s="1"/>
  <c r="H1442" i="1" a="1"/>
  <c r="H1442" i="1" s="1"/>
  <c r="G1439" i="1" a="1"/>
  <c r="G1439" i="1" s="1"/>
  <c r="J1432" i="1" a="1"/>
  <c r="J1432" i="1" s="1"/>
  <c r="H1437" i="1" a="1"/>
  <c r="H1437" i="1" s="1"/>
  <c r="F1434" i="1" a="1"/>
  <c r="F1434" i="1" s="1"/>
  <c r="G1442" i="1" a="1"/>
  <c r="G1442" i="1" s="1"/>
  <c r="F1442" i="1" a="1"/>
  <c r="F1442" i="1" s="1"/>
  <c r="K1441" i="1" a="1"/>
  <c r="K1441" i="1" s="1"/>
  <c r="I1440" i="1" a="1"/>
  <c r="I1440" i="1" s="1"/>
  <c r="G1440" i="1" a="1"/>
  <c r="G1440" i="1" s="1"/>
  <c r="H1439" i="1" a="1"/>
  <c r="H1439" i="1" s="1"/>
  <c r="J1438" i="1" a="1"/>
  <c r="J1438" i="1" s="1"/>
  <c r="I1437" i="1" a="1"/>
  <c r="I1437" i="1" s="1"/>
  <c r="F1437" i="1" a="1"/>
  <c r="F1437" i="1" s="1"/>
  <c r="F1436" i="1" a="1"/>
  <c r="F1436" i="1" s="1"/>
  <c r="I1435" i="1" a="1"/>
  <c r="I1435" i="1" s="1"/>
  <c r="K1435" i="1" a="1"/>
  <c r="K1435" i="1" s="1"/>
  <c r="G1434" i="1" a="1"/>
  <c r="G1434" i="1" s="1"/>
  <c r="H1436" i="1" a="1"/>
  <c r="H1436" i="1" s="1"/>
  <c r="J1441" i="1" a="1"/>
  <c r="J1441" i="1" s="1"/>
  <c r="I1439" i="1" a="1"/>
  <c r="I1439" i="1" s="1"/>
  <c r="F1439" i="1" a="1"/>
  <c r="F1439" i="1" s="1"/>
  <c r="I1432" i="1" a="1"/>
  <c r="I1432" i="1" s="1"/>
  <c r="I1441" i="1" a="1"/>
  <c r="I1441" i="1" s="1"/>
  <c r="K1440" i="1" a="1"/>
  <c r="K1440" i="1" s="1"/>
  <c r="F1435" i="1" a="1"/>
  <c r="F1435" i="1" s="1"/>
  <c r="H1438" i="1" a="1"/>
  <c r="H1438" i="1" s="1"/>
  <c r="F1438" i="1" a="1"/>
  <c r="F1438" i="1" s="1"/>
  <c r="K1434" i="1" a="1"/>
  <c r="K1434" i="1" s="1"/>
  <c r="K1437" i="1" a="1"/>
  <c r="K1437" i="1" s="1"/>
  <c r="K1432" i="1" a="1"/>
  <c r="K1432" i="1" s="1"/>
  <c r="H1441" i="1" a="1"/>
  <c r="H1441" i="1" s="1"/>
  <c r="G1441" i="1" a="1"/>
  <c r="G1441" i="1" s="1"/>
  <c r="G1435" i="1" a="1"/>
  <c r="G1435" i="1" s="1"/>
  <c r="K1421" i="1" a="1"/>
  <c r="K1421" i="1" s="1"/>
  <c r="F1430" i="1" a="1"/>
  <c r="F1430" i="1" s="1"/>
  <c r="F1429" i="1" a="1"/>
  <c r="F1429" i="1" s="1"/>
  <c r="I1430" i="1" a="1"/>
  <c r="I1430" i="1" s="1"/>
  <c r="H1420" i="1" a="1"/>
  <c r="H1420" i="1" s="1"/>
  <c r="F1432" i="1" a="1"/>
  <c r="F1432" i="1" s="1"/>
  <c r="J1431" i="1" a="1"/>
  <c r="J1431" i="1" s="1"/>
  <c r="K1431" i="1" a="1"/>
  <c r="K1431" i="1" s="1"/>
  <c r="G1430" i="1" a="1"/>
  <c r="G1430" i="1" s="1"/>
  <c r="I1420" i="1" a="1"/>
  <c r="I1420" i="1" s="1"/>
  <c r="H1431" i="1" a="1"/>
  <c r="H1431" i="1" s="1"/>
  <c r="J1429" i="1" a="1"/>
  <c r="J1429" i="1" s="1"/>
  <c r="J1428" i="1" a="1"/>
  <c r="J1428" i="1" s="1"/>
  <c r="I1431" i="1" a="1"/>
  <c r="I1431" i="1" s="1"/>
  <c r="K1430" i="1" a="1"/>
  <c r="K1430" i="1" s="1"/>
  <c r="J1420" i="1" a="1"/>
  <c r="J1420" i="1" s="1"/>
  <c r="G1431" i="1" a="1"/>
  <c r="G1431" i="1" s="1"/>
  <c r="F1431" i="1" a="1"/>
  <c r="F1431" i="1" s="1"/>
  <c r="K1422" i="1" a="1"/>
  <c r="K1422" i="1" s="1"/>
  <c r="J1421" i="1" a="1"/>
  <c r="J1421" i="1" s="1"/>
  <c r="H1430" i="1" a="1"/>
  <c r="H1430" i="1" s="1"/>
  <c r="H1421" i="1" a="1"/>
  <c r="H1421" i="1" s="1"/>
  <c r="J1430" i="1" a="1"/>
  <c r="J1430" i="1" s="1"/>
  <c r="K1429" i="1" a="1"/>
  <c r="K1429" i="1" s="1"/>
  <c r="I1429" i="1" a="1"/>
  <c r="I1429" i="1" s="1"/>
  <c r="H1429" i="1" a="1"/>
  <c r="H1429" i="1" s="1"/>
  <c r="G1429" i="1" a="1"/>
  <c r="G1429" i="1" s="1"/>
  <c r="K1428" i="1" a="1"/>
  <c r="K1428" i="1" s="1"/>
  <c r="I1428" i="1" a="1"/>
  <c r="I1428" i="1" s="1"/>
  <c r="H1428" i="1" a="1"/>
  <c r="H1428" i="1" s="1"/>
  <c r="G1428" i="1" a="1"/>
  <c r="G1428" i="1" s="1"/>
  <c r="F1428" i="1" a="1"/>
  <c r="F1428" i="1" s="1"/>
  <c r="K1420" i="1" a="1"/>
  <c r="K1420" i="1" s="1"/>
  <c r="G1421" i="1" a="1"/>
  <c r="G1421" i="1" s="1"/>
  <c r="G1422" i="1" a="1"/>
  <c r="G1422" i="1" s="1"/>
  <c r="F1422" i="1" a="1"/>
  <c r="F1422" i="1" s="1"/>
  <c r="I1422" i="1" a="1"/>
  <c r="I1422" i="1" s="1"/>
  <c r="I1421" i="1" a="1"/>
  <c r="I1421" i="1" s="1"/>
  <c r="F1421" i="1" a="1"/>
  <c r="F1421" i="1" s="1"/>
  <c r="H1422" i="1" a="1"/>
  <c r="H1422" i="1" s="1"/>
  <c r="H1432" i="1" a="1"/>
  <c r="H1432" i="1" s="1"/>
  <c r="J1422" i="1" a="1"/>
  <c r="J1422" i="1" s="1"/>
  <c r="G1432" i="1" a="1"/>
  <c r="G1432" i="1" s="1"/>
  <c r="J1408" i="1" a="1"/>
  <c r="J1408" i="1" s="1"/>
  <c r="H1418" i="1" a="1"/>
  <c r="H1418" i="1" s="1"/>
  <c r="H1414" i="1" a="1"/>
  <c r="H1414" i="1" s="1"/>
  <c r="K1408" i="1" a="1"/>
  <c r="K1408" i="1" s="1"/>
  <c r="J1417" i="1" a="1"/>
  <c r="J1417" i="1" s="1"/>
  <c r="F1417" i="1" a="1"/>
  <c r="F1417" i="1" s="1"/>
  <c r="I1416" i="1" a="1"/>
  <c r="I1416" i="1" s="1"/>
  <c r="J1415" i="1" a="1"/>
  <c r="J1415" i="1" s="1"/>
  <c r="G1416" i="1" a="1"/>
  <c r="G1416" i="1" s="1"/>
  <c r="F1416" i="1" a="1"/>
  <c r="F1416" i="1" s="1"/>
  <c r="F1414" i="1" a="1"/>
  <c r="F1414" i="1" s="1"/>
  <c r="I1408" i="1" a="1"/>
  <c r="I1408" i="1" s="1"/>
  <c r="K1407" i="1" a="1"/>
  <c r="K1407" i="1" s="1"/>
  <c r="G1417" i="1" a="1"/>
  <c r="G1417" i="1" s="1"/>
  <c r="I1415" i="1" a="1"/>
  <c r="I1415" i="1" s="1"/>
  <c r="I1407" i="1" a="1"/>
  <c r="I1407" i="1" s="1"/>
  <c r="J1407" i="1" a="1"/>
  <c r="J1407" i="1" s="1"/>
  <c r="G1420" i="1" a="1"/>
  <c r="G1420" i="1" s="1"/>
  <c r="F1420" i="1" a="1"/>
  <c r="F1420" i="1" s="1"/>
  <c r="K1419" i="1" a="1"/>
  <c r="K1419" i="1" s="1"/>
  <c r="H1419" i="1" a="1"/>
  <c r="H1419" i="1" s="1"/>
  <c r="J1419" i="1" a="1"/>
  <c r="J1419" i="1" s="1"/>
  <c r="I1419" i="1" a="1"/>
  <c r="I1419" i="1" s="1"/>
  <c r="G1419" i="1" a="1"/>
  <c r="G1419" i="1" s="1"/>
  <c r="F1419" i="1" a="1"/>
  <c r="F1419" i="1" s="1"/>
  <c r="K1418" i="1" a="1"/>
  <c r="K1418" i="1" s="1"/>
  <c r="J1418" i="1" a="1"/>
  <c r="J1418" i="1" s="1"/>
  <c r="F1408" i="1" a="1"/>
  <c r="F1408" i="1" s="1"/>
  <c r="I1418" i="1" a="1"/>
  <c r="I1418" i="1" s="1"/>
  <c r="G1418" i="1" a="1"/>
  <c r="G1418" i="1" s="1"/>
  <c r="F1418" i="1" a="1"/>
  <c r="F1418" i="1" s="1"/>
  <c r="K1417" i="1" a="1"/>
  <c r="K1417" i="1" s="1"/>
  <c r="I1417" i="1" a="1"/>
  <c r="I1417" i="1" s="1"/>
  <c r="H1417" i="1" a="1"/>
  <c r="H1417" i="1" s="1"/>
  <c r="K1416" i="1" a="1"/>
  <c r="K1416" i="1" s="1"/>
  <c r="J1416" i="1" a="1"/>
  <c r="J1416" i="1" s="1"/>
  <c r="F1415" i="1" a="1"/>
  <c r="F1415" i="1" s="1"/>
  <c r="K1414" i="1" a="1"/>
  <c r="K1414" i="1" s="1"/>
  <c r="J1414" i="1" a="1"/>
  <c r="J1414" i="1" s="1"/>
  <c r="I1414" i="1" a="1"/>
  <c r="I1414" i="1" s="1"/>
  <c r="K1415" i="1" a="1"/>
  <c r="K1415" i="1" s="1"/>
  <c r="G1408" i="1" a="1"/>
  <c r="G1408" i="1" s="1"/>
  <c r="H1416" i="1" a="1"/>
  <c r="H1416" i="1" s="1"/>
  <c r="H1415" i="1" a="1"/>
  <c r="H1415" i="1" s="1"/>
  <c r="G1415" i="1" a="1"/>
  <c r="G1415" i="1" s="1"/>
  <c r="G1414" i="1" a="1"/>
  <c r="G1414" i="1" s="1"/>
  <c r="H1408" i="1" a="1"/>
  <c r="H1408" i="1" s="1"/>
  <c r="K1400" i="1" a="1"/>
  <c r="K1400" i="1" s="1"/>
  <c r="I1399" i="1" a="1"/>
  <c r="I1399" i="1" s="1"/>
  <c r="J1402" i="1" a="1"/>
  <c r="J1402" i="1" s="1"/>
  <c r="H1406" i="1" a="1"/>
  <c r="H1406" i="1" s="1"/>
  <c r="J1401" i="1" a="1"/>
  <c r="J1401" i="1" s="1"/>
  <c r="F1406" i="1" a="1"/>
  <c r="F1406" i="1" s="1"/>
  <c r="H1405" i="1" a="1"/>
  <c r="H1405" i="1" s="1"/>
  <c r="K1401" i="1" a="1"/>
  <c r="K1401" i="1" s="1"/>
  <c r="H1401" i="1" a="1"/>
  <c r="H1401" i="1" s="1"/>
  <c r="H1399" i="1" a="1"/>
  <c r="H1399" i="1" s="1"/>
  <c r="H1407" i="1" a="1"/>
  <c r="H1407" i="1" s="1"/>
  <c r="G1407" i="1" a="1"/>
  <c r="G1407" i="1" s="1"/>
  <c r="K1405" i="1" a="1"/>
  <c r="K1405" i="1" s="1"/>
  <c r="F1405" i="1" a="1"/>
  <c r="F1405" i="1" s="1"/>
  <c r="I1401" i="1" a="1"/>
  <c r="I1401" i="1" s="1"/>
  <c r="F1407" i="1" a="1"/>
  <c r="F1407" i="1" s="1"/>
  <c r="G1402" i="1" a="1"/>
  <c r="G1402" i="1" s="1"/>
  <c r="F1401" i="1" a="1"/>
  <c r="F1401" i="1" s="1"/>
  <c r="K1406" i="1" a="1"/>
  <c r="K1406" i="1" s="1"/>
  <c r="I1402" i="1" a="1"/>
  <c r="I1402" i="1" s="1"/>
  <c r="K1402" i="1" a="1"/>
  <c r="K1402" i="1" s="1"/>
  <c r="I1406" i="1" a="1"/>
  <c r="I1406" i="1" s="1"/>
  <c r="G1405" i="1" a="1"/>
  <c r="G1405" i="1" s="1"/>
  <c r="I1405" i="1" a="1"/>
  <c r="I1405" i="1" s="1"/>
  <c r="I1403" i="1" a="1"/>
  <c r="I1403" i="1" s="1"/>
  <c r="J1399" i="1" a="1"/>
  <c r="J1399" i="1" s="1"/>
  <c r="H1400" i="1" a="1"/>
  <c r="H1400" i="1" s="1"/>
  <c r="G1406" i="1" a="1"/>
  <c r="G1406" i="1" s="1"/>
  <c r="J1405" i="1" a="1"/>
  <c r="J1405" i="1" s="1"/>
  <c r="K1403" i="1" a="1"/>
  <c r="K1403" i="1" s="1"/>
  <c r="J1403" i="1" a="1"/>
  <c r="J1403" i="1" s="1"/>
  <c r="H1403" i="1" a="1"/>
  <c r="H1403" i="1" s="1"/>
  <c r="G1403" i="1" a="1"/>
  <c r="G1403" i="1" s="1"/>
  <c r="F1403" i="1" a="1"/>
  <c r="F1403" i="1" s="1"/>
  <c r="G1401" i="1" a="1"/>
  <c r="G1401" i="1" s="1"/>
  <c r="J1400" i="1" a="1"/>
  <c r="J1400" i="1" s="1"/>
  <c r="I1400" i="1" a="1"/>
  <c r="I1400" i="1" s="1"/>
  <c r="G1400" i="1" a="1"/>
  <c r="G1400" i="1" s="1"/>
  <c r="F1400" i="1" a="1"/>
  <c r="F1400" i="1" s="1"/>
  <c r="H1402" i="1" a="1"/>
  <c r="H1402" i="1" s="1"/>
  <c r="G1399" i="1" a="1"/>
  <c r="G1399" i="1" s="1"/>
  <c r="F1399" i="1" a="1"/>
  <c r="F1399" i="1" s="1"/>
  <c r="K1399" i="1" a="1"/>
  <c r="K1399" i="1" s="1"/>
  <c r="J1406" i="1" a="1"/>
  <c r="J1406" i="1" s="1"/>
  <c r="F1402" i="1" a="1"/>
  <c r="F1402" i="1" s="1"/>
  <c r="I1372" i="1" a="1"/>
  <c r="I1372" i="1" s="1"/>
  <c r="F1371" i="1" a="1"/>
  <c r="F1371" i="1" s="1"/>
  <c r="H1368" i="1" a="1"/>
  <c r="H1368" i="1" s="1"/>
  <c r="J1366" i="1" a="1"/>
  <c r="J1366" i="1" s="1"/>
  <c r="I1371" i="1" a="1"/>
  <c r="I1371" i="1" s="1"/>
  <c r="J1369" i="1" a="1"/>
  <c r="J1369" i="1" s="1"/>
  <c r="J1372" i="1" a="1"/>
  <c r="J1372" i="1" s="1"/>
  <c r="F1370" i="1" a="1"/>
  <c r="F1370" i="1" s="1"/>
  <c r="K1369" i="1" a="1"/>
  <c r="K1369" i="1" s="1"/>
  <c r="J1371" i="1" a="1"/>
  <c r="J1371" i="1" s="1"/>
  <c r="H1369" i="1" a="1"/>
  <c r="H1369" i="1" s="1"/>
  <c r="K1372" i="1" a="1"/>
  <c r="K1372" i="1" s="1"/>
  <c r="H1372" i="1" a="1"/>
  <c r="H1372" i="1" s="1"/>
  <c r="F1372" i="1" a="1"/>
  <c r="F1372" i="1" s="1"/>
  <c r="K1367" i="1" a="1"/>
  <c r="K1367" i="1" s="1"/>
  <c r="H1367" i="1" a="1"/>
  <c r="H1367" i="1" s="1"/>
  <c r="F1367" i="1" a="1"/>
  <c r="F1367" i="1" s="1"/>
  <c r="H1366" i="1" a="1"/>
  <c r="H1366" i="1" s="1"/>
  <c r="G1371" i="1" a="1"/>
  <c r="G1371" i="1" s="1"/>
  <c r="K1368" i="1" a="1"/>
  <c r="K1368" i="1" s="1"/>
  <c r="G1370" i="1" a="1"/>
  <c r="G1370" i="1" s="1"/>
  <c r="I1370" i="1" a="1"/>
  <c r="I1370" i="1" s="1"/>
  <c r="I1368" i="1" a="1"/>
  <c r="I1368" i="1" s="1"/>
  <c r="G1367" i="1" a="1"/>
  <c r="G1367" i="1" s="1"/>
  <c r="K1366" i="1" a="1"/>
  <c r="K1366" i="1" s="1"/>
  <c r="G1372" i="1" a="1"/>
  <c r="G1372" i="1" s="1"/>
  <c r="K1371" i="1" a="1"/>
  <c r="K1371" i="1" s="1"/>
  <c r="J1367" i="1" a="1"/>
  <c r="J1367" i="1" s="1"/>
  <c r="G1369" i="1" a="1"/>
  <c r="G1369" i="1" s="1"/>
  <c r="H1371" i="1" a="1"/>
  <c r="H1371" i="1" s="1"/>
  <c r="K1370" i="1" a="1"/>
  <c r="K1370" i="1" s="1"/>
  <c r="J1370" i="1" a="1"/>
  <c r="J1370" i="1" s="1"/>
  <c r="I1369" i="1" a="1"/>
  <c r="I1369" i="1" s="1"/>
  <c r="F1368" i="1" a="1"/>
  <c r="F1368" i="1" s="1"/>
  <c r="I1366" i="1" a="1"/>
  <c r="I1366" i="1" s="1"/>
  <c r="G1366" i="1" a="1"/>
  <c r="G1366" i="1" s="1"/>
  <c r="F1369" i="1" a="1"/>
  <c r="F1369" i="1" s="1"/>
  <c r="H1370" i="1" a="1"/>
  <c r="H1370" i="1" s="1"/>
  <c r="J1368" i="1" a="1"/>
  <c r="J1368" i="1" s="1"/>
  <c r="G1368" i="1" a="1"/>
  <c r="G1368" i="1" s="1"/>
  <c r="I1367" i="1" a="1"/>
  <c r="I1367" i="1" s="1"/>
  <c r="F1364" i="1" a="1"/>
  <c r="F1364" i="1" s="1"/>
  <c r="J1360" i="1" a="1"/>
  <c r="J1360" i="1" s="1"/>
  <c r="G1359" i="1" a="1"/>
  <c r="G1359" i="1" s="1"/>
  <c r="I1364" i="1" a="1"/>
  <c r="I1364" i="1" s="1"/>
  <c r="G1364" i="1" a="1"/>
  <c r="G1364" i="1" s="1"/>
  <c r="I1362" i="1" a="1"/>
  <c r="I1362" i="1" s="1"/>
  <c r="H1360" i="1" a="1"/>
  <c r="H1360" i="1" s="1"/>
  <c r="I1355" i="1" a="1"/>
  <c r="I1355" i="1" s="1"/>
  <c r="I1357" i="1" a="1"/>
  <c r="I1357" i="1" s="1"/>
  <c r="K1361" i="1" a="1"/>
  <c r="K1361" i="1" s="1"/>
  <c r="K1356" i="1" a="1"/>
  <c r="K1356" i="1" s="1"/>
  <c r="G1358" i="1" a="1"/>
  <c r="G1358" i="1" s="1"/>
  <c r="H1357" i="1" a="1"/>
  <c r="H1357" i="1" s="1"/>
  <c r="K1362" i="1" a="1"/>
  <c r="K1362" i="1" s="1"/>
  <c r="K1363" i="1" a="1"/>
  <c r="K1363" i="1" s="1"/>
  <c r="J1363" i="1" a="1"/>
  <c r="J1363" i="1" s="1"/>
  <c r="H1356" i="1" a="1"/>
  <c r="H1356" i="1" s="1"/>
  <c r="K1355" i="1" a="1"/>
  <c r="K1355" i="1" s="1"/>
  <c r="I1360" i="1" a="1"/>
  <c r="I1360" i="1" s="1"/>
  <c r="F1359" i="1" a="1"/>
  <c r="F1359" i="1" s="1"/>
  <c r="F1358" i="1" a="1"/>
  <c r="F1358" i="1" s="1"/>
  <c r="I1363" i="1" a="1"/>
  <c r="I1363" i="1" s="1"/>
  <c r="H1363" i="1" a="1"/>
  <c r="H1363" i="1" s="1"/>
  <c r="F1363" i="1" a="1"/>
  <c r="F1363" i="1" s="1"/>
  <c r="F1362" i="1" a="1"/>
  <c r="F1362" i="1" s="1"/>
  <c r="H1358" i="1" a="1"/>
  <c r="H1358" i="1" s="1"/>
  <c r="J1356" i="1" a="1"/>
  <c r="J1356" i="1" s="1"/>
  <c r="G1356" i="1" a="1"/>
  <c r="G1356" i="1" s="1"/>
  <c r="F1361" i="1" a="1"/>
  <c r="F1361" i="1" s="1"/>
  <c r="J1358" i="1" a="1"/>
  <c r="J1358" i="1" s="1"/>
  <c r="J1359" i="1" a="1"/>
  <c r="J1359" i="1" s="1"/>
  <c r="J1365" i="1" a="1"/>
  <c r="J1365" i="1" s="1"/>
  <c r="H1361" i="1" a="1"/>
  <c r="H1361" i="1" s="1"/>
  <c r="K1365" i="1" a="1"/>
  <c r="K1365" i="1" s="1"/>
  <c r="H1365" i="1" a="1"/>
  <c r="H1365" i="1" s="1"/>
  <c r="G1365" i="1" a="1"/>
  <c r="G1365" i="1" s="1"/>
  <c r="H1364" i="1" a="1"/>
  <c r="H1364" i="1" s="1"/>
  <c r="G1363" i="1" a="1"/>
  <c r="G1363" i="1" s="1"/>
  <c r="J1362" i="1" a="1"/>
  <c r="J1362" i="1" s="1"/>
  <c r="H1362" i="1" a="1"/>
  <c r="H1362" i="1" s="1"/>
  <c r="J1361" i="1" a="1"/>
  <c r="J1361" i="1" s="1"/>
  <c r="I1361" i="1" a="1"/>
  <c r="I1361" i="1" s="1"/>
  <c r="F1360" i="1" a="1"/>
  <c r="F1360" i="1" s="1"/>
  <c r="I1359" i="1" a="1"/>
  <c r="I1359" i="1" s="1"/>
  <c r="J1357" i="1" a="1"/>
  <c r="J1357" i="1" s="1"/>
  <c r="H1359" i="1" a="1"/>
  <c r="H1359" i="1" s="1"/>
  <c r="F1357" i="1" a="1"/>
  <c r="F1357" i="1" s="1"/>
  <c r="K1357" i="1" a="1"/>
  <c r="K1357" i="1" s="1"/>
  <c r="I1356" i="1" a="1"/>
  <c r="I1356" i="1" s="1"/>
  <c r="F1356" i="1" a="1"/>
  <c r="F1356" i="1" s="1"/>
  <c r="J1355" i="1" a="1"/>
  <c r="J1355" i="1" s="1"/>
  <c r="K1358" i="1" a="1"/>
  <c r="K1358" i="1" s="1"/>
  <c r="G1362" i="1" a="1"/>
  <c r="G1362" i="1" s="1"/>
  <c r="K1360" i="1" a="1"/>
  <c r="K1360" i="1" s="1"/>
  <c r="G1360" i="1" a="1"/>
  <c r="G1360" i="1" s="1"/>
  <c r="I1358" i="1" a="1"/>
  <c r="I1358" i="1" s="1"/>
  <c r="G1357" i="1" a="1"/>
  <c r="G1357" i="1" s="1"/>
  <c r="F1366" i="1" a="1"/>
  <c r="F1366" i="1" s="1"/>
  <c r="G1361" i="1" a="1"/>
  <c r="G1361" i="1" s="1"/>
  <c r="K1359" i="1" a="1"/>
  <c r="K1359" i="1" s="1"/>
  <c r="I1365" i="1" a="1"/>
  <c r="I1365" i="1" s="1"/>
  <c r="F1365" i="1" a="1"/>
  <c r="F1365" i="1" s="1"/>
  <c r="K1364" i="1" a="1"/>
  <c r="K1364" i="1" s="1"/>
  <c r="J1364" i="1" a="1"/>
  <c r="J1364" i="1" s="1"/>
  <c r="H1352" i="1" a="1"/>
  <c r="H1352" i="1" s="1"/>
  <c r="I1351" i="1" a="1"/>
  <c r="I1351" i="1" s="1"/>
  <c r="H1351" i="1" a="1"/>
  <c r="H1351" i="1" s="1"/>
  <c r="J1344" i="1" a="1"/>
  <c r="J1344" i="1" s="1"/>
  <c r="F1347" i="1" a="1"/>
  <c r="F1347" i="1" s="1"/>
  <c r="F1346" i="1" a="1"/>
  <c r="F1346" i="1" s="1"/>
  <c r="H1345" i="1" a="1"/>
  <c r="H1345" i="1" s="1"/>
  <c r="J1348" i="1" a="1"/>
  <c r="J1348" i="1" s="1"/>
  <c r="F1351" i="1" a="1"/>
  <c r="F1351" i="1" s="1"/>
  <c r="J1350" i="1" a="1"/>
  <c r="J1350" i="1" s="1"/>
  <c r="K1348" i="1" a="1"/>
  <c r="K1348" i="1" s="1"/>
  <c r="G1346" i="1" a="1"/>
  <c r="G1346" i="1" s="1"/>
  <c r="H1348" i="1" a="1"/>
  <c r="H1348" i="1" s="1"/>
  <c r="G1348" i="1" a="1"/>
  <c r="G1348" i="1" s="1"/>
  <c r="K1347" i="1" a="1"/>
  <c r="K1347" i="1" s="1"/>
  <c r="J1347" i="1" a="1"/>
  <c r="J1347" i="1" s="1"/>
  <c r="K1345" i="1" a="1"/>
  <c r="K1345" i="1" s="1"/>
  <c r="H1346" i="1" a="1"/>
  <c r="H1346" i="1" s="1"/>
  <c r="G1354" i="1" a="1"/>
  <c r="G1354" i="1" s="1"/>
  <c r="F1353" i="1" a="1"/>
  <c r="F1353" i="1" s="1"/>
  <c r="F1352" i="1" a="1"/>
  <c r="F1352" i="1" s="1"/>
  <c r="K1351" i="1" a="1"/>
  <c r="K1351" i="1" s="1"/>
  <c r="H1355" i="1" a="1"/>
  <c r="H1355" i="1" s="1"/>
  <c r="G1355" i="1" a="1"/>
  <c r="G1355" i="1" s="1"/>
  <c r="F1355" i="1" a="1"/>
  <c r="F1355" i="1" s="1"/>
  <c r="F1345" i="1" a="1"/>
  <c r="F1345" i="1" s="1"/>
  <c r="I1354" i="1" a="1"/>
  <c r="I1354" i="1" s="1"/>
  <c r="H1354" i="1" a="1"/>
  <c r="H1354" i="1" s="1"/>
  <c r="G1350" i="1" a="1"/>
  <c r="G1350" i="1" s="1"/>
  <c r="K1344" i="1" a="1"/>
  <c r="K1344" i="1" s="1"/>
  <c r="I1344" i="1" a="1"/>
  <c r="I1344" i="1" s="1"/>
  <c r="K1346" i="1" a="1"/>
  <c r="K1346" i="1" s="1"/>
  <c r="J1353" i="1" a="1"/>
  <c r="J1353" i="1" s="1"/>
  <c r="G1351" i="1" a="1"/>
  <c r="G1351" i="1" s="1"/>
  <c r="G1352" i="1" a="1"/>
  <c r="G1352" i="1" s="1"/>
  <c r="H1353" i="1" a="1"/>
  <c r="H1353" i="1" s="1"/>
  <c r="K1352" i="1" a="1"/>
  <c r="K1352" i="1" s="1"/>
  <c r="J1352" i="1" a="1"/>
  <c r="J1352" i="1" s="1"/>
  <c r="I1345" i="1" a="1"/>
  <c r="I1345" i="1" s="1"/>
  <c r="I1350" i="1" a="1"/>
  <c r="I1350" i="1" s="1"/>
  <c r="I1348" i="1" a="1"/>
  <c r="I1348" i="1" s="1"/>
  <c r="F1348" i="1" a="1"/>
  <c r="F1348" i="1" s="1"/>
  <c r="J1346" i="1" a="1"/>
  <c r="J1346" i="1" s="1"/>
  <c r="I1346" i="1" a="1"/>
  <c r="I1346" i="1" s="1"/>
  <c r="I1347" i="1" a="1"/>
  <c r="I1347" i="1" s="1"/>
  <c r="G1345" i="1" a="1"/>
  <c r="G1345" i="1" s="1"/>
  <c r="I1352" i="1" a="1"/>
  <c r="I1352" i="1" s="1"/>
  <c r="J1351" i="1" a="1"/>
  <c r="J1351" i="1" s="1"/>
  <c r="H1350" i="1" a="1"/>
  <c r="H1350" i="1" s="1"/>
  <c r="K1350" i="1" a="1"/>
  <c r="K1350" i="1" s="1"/>
  <c r="F1350" i="1" a="1"/>
  <c r="F1350" i="1" s="1"/>
  <c r="H1347" i="1" a="1"/>
  <c r="H1347" i="1" s="1"/>
  <c r="G1347" i="1" a="1"/>
  <c r="G1347" i="1" s="1"/>
  <c r="F1354" i="1" a="1"/>
  <c r="F1354" i="1" s="1"/>
  <c r="J1345" i="1" a="1"/>
  <c r="J1345" i="1" s="1"/>
  <c r="K1354" i="1" a="1"/>
  <c r="K1354" i="1" s="1"/>
  <c r="J1354" i="1" a="1"/>
  <c r="J1354" i="1" s="1"/>
  <c r="K1353" i="1" a="1"/>
  <c r="K1353" i="1" s="1"/>
  <c r="I1353" i="1" a="1"/>
  <c r="I1353" i="1" s="1"/>
  <c r="G1353" i="1" a="1"/>
  <c r="G1353" i="1" s="1"/>
  <c r="K1337" i="1" a="1"/>
  <c r="K1337" i="1" s="1"/>
  <c r="H1332" i="1" a="1"/>
  <c r="H1332" i="1" s="1"/>
  <c r="J1332" i="1" a="1"/>
  <c r="J1332" i="1" s="1"/>
  <c r="K1332" i="1" a="1"/>
  <c r="K1332" i="1" s="1"/>
  <c r="J1333" i="1" a="1"/>
  <c r="J1333" i="1" s="1"/>
  <c r="F1337" i="1" a="1"/>
  <c r="F1337" i="1" s="1"/>
  <c r="K1335" i="1" a="1"/>
  <c r="K1335" i="1" s="1"/>
  <c r="I1333" i="1" a="1"/>
  <c r="I1333" i="1" s="1"/>
  <c r="F1331" i="1" a="1"/>
  <c r="F1331" i="1" s="1"/>
  <c r="F1333" i="1" a="1"/>
  <c r="F1333" i="1" s="1"/>
  <c r="K1338" i="1" a="1"/>
  <c r="K1338" i="1" s="1"/>
  <c r="H1337" i="1" a="1"/>
  <c r="H1337" i="1" s="1"/>
  <c r="F1334" i="1" a="1"/>
  <c r="F1334" i="1" s="1"/>
  <c r="J1338" i="1" a="1"/>
  <c r="J1338" i="1" s="1"/>
  <c r="J1337" i="1" a="1"/>
  <c r="J1337" i="1" s="1"/>
  <c r="K1331" i="1" a="1"/>
  <c r="K1331" i="1" s="1"/>
  <c r="G1337" i="1" a="1"/>
  <c r="G1337" i="1" s="1"/>
  <c r="K1336" i="1" a="1"/>
  <c r="K1336" i="1" s="1"/>
  <c r="I1335" i="1" a="1"/>
  <c r="I1335" i="1" s="1"/>
  <c r="I1334" i="1" a="1"/>
  <c r="I1334" i="1" s="1"/>
  <c r="I1338" i="1" a="1"/>
  <c r="I1338" i="1" s="1"/>
  <c r="J1331" i="1" a="1"/>
  <c r="J1331" i="1" s="1"/>
  <c r="G1338" i="1" a="1"/>
  <c r="G1338" i="1" s="1"/>
  <c r="H1335" i="1" a="1"/>
  <c r="H1335" i="1" s="1"/>
  <c r="G1331" i="1" a="1"/>
  <c r="G1331" i="1" s="1"/>
  <c r="I1336" i="1" a="1"/>
  <c r="I1336" i="1" s="1"/>
  <c r="G1334" i="1" a="1"/>
  <c r="G1334" i="1" s="1"/>
  <c r="I1332" i="1" a="1"/>
  <c r="I1332" i="1" s="1"/>
  <c r="F1336" i="1" a="1"/>
  <c r="F1336" i="1" s="1"/>
  <c r="J1336" i="1" a="1"/>
  <c r="J1336" i="1" s="1"/>
  <c r="J1335" i="1" a="1"/>
  <c r="J1335" i="1" s="1"/>
  <c r="F1332" i="1" a="1"/>
  <c r="F1332" i="1" s="1"/>
  <c r="K1334" i="1" a="1"/>
  <c r="K1334" i="1" s="1"/>
  <c r="H1344" i="1" a="1"/>
  <c r="H1344" i="1" s="1"/>
  <c r="G1336" i="1" a="1"/>
  <c r="G1336" i="1" s="1"/>
  <c r="G1344" i="1" a="1"/>
  <c r="G1344" i="1" s="1"/>
  <c r="K1333" i="1" a="1"/>
  <c r="K1333" i="1" s="1"/>
  <c r="F1344" i="1" a="1"/>
  <c r="F1344" i="1" s="1"/>
  <c r="F1335" i="1" a="1"/>
  <c r="F1335" i="1" s="1"/>
  <c r="J1334" i="1" a="1"/>
  <c r="J1334" i="1" s="1"/>
  <c r="I1331" i="1" a="1"/>
  <c r="I1331" i="1" s="1"/>
  <c r="H1331" i="1" a="1"/>
  <c r="H1331" i="1" s="1"/>
  <c r="F1338" i="1" a="1"/>
  <c r="F1338" i="1" s="1"/>
  <c r="I1337" i="1" a="1"/>
  <c r="I1337" i="1" s="1"/>
  <c r="H1336" i="1" a="1"/>
  <c r="H1336" i="1" s="1"/>
  <c r="G1333" i="1" a="1"/>
  <c r="G1333" i="1" s="1"/>
  <c r="G1335" i="1" a="1"/>
  <c r="G1335" i="1" s="1"/>
  <c r="G1332" i="1" a="1"/>
  <c r="G1332" i="1" s="1"/>
  <c r="H1338" i="1" a="1"/>
  <c r="H1338" i="1" s="1"/>
  <c r="H1333" i="1" a="1"/>
  <c r="H1333" i="1" s="1"/>
  <c r="H1334" i="1" a="1"/>
  <c r="H1334" i="1" s="1"/>
  <c r="G1322" i="1" a="1"/>
  <c r="G1322" i="1" s="1"/>
  <c r="G1318" i="1" a="1"/>
  <c r="G1318" i="1" s="1"/>
  <c r="J1324" i="1" a="1"/>
  <c r="J1324" i="1" s="1"/>
  <c r="H1324" i="1" a="1"/>
  <c r="H1324" i="1" s="1"/>
  <c r="J1316" i="1" a="1"/>
  <c r="J1316" i="1" s="1"/>
  <c r="I1321" i="1" a="1"/>
  <c r="I1321" i="1" s="1"/>
  <c r="I1317" i="1" a="1"/>
  <c r="I1317" i="1" s="1"/>
  <c r="F1324" i="1" a="1"/>
  <c r="F1324" i="1" s="1"/>
  <c r="F1323" i="1" a="1"/>
  <c r="F1323" i="1" s="1"/>
  <c r="J1322" i="1" a="1"/>
  <c r="J1322" i="1" s="1"/>
  <c r="H1318" i="1" a="1"/>
  <c r="H1318" i="1" s="1"/>
  <c r="G1321" i="1" a="1"/>
  <c r="G1321" i="1" s="1"/>
  <c r="F1317" i="1" a="1"/>
  <c r="F1317" i="1" s="1"/>
  <c r="H1319" i="1" a="1"/>
  <c r="H1319" i="1" s="1"/>
  <c r="J1318" i="1" a="1"/>
  <c r="J1318" i="1" s="1"/>
  <c r="H1317" i="1" a="1"/>
  <c r="H1317" i="1" s="1"/>
  <c r="G1317" i="1" a="1"/>
  <c r="G1317" i="1" s="1"/>
  <c r="I1319" i="1" a="1"/>
  <c r="I1319" i="1" s="1"/>
  <c r="J1317" i="1" a="1"/>
  <c r="J1317" i="1" s="1"/>
  <c r="K1316" i="1" a="1"/>
  <c r="K1316" i="1" s="1"/>
  <c r="H1322" i="1" a="1"/>
  <c r="H1322" i="1" s="1"/>
  <c r="F1322" i="1" a="1"/>
  <c r="F1322" i="1" s="1"/>
  <c r="F1318" i="1" a="1"/>
  <c r="F1318" i="1" s="1"/>
  <c r="K1317" i="1" a="1"/>
  <c r="K1317" i="1" s="1"/>
  <c r="K1323" i="1" a="1"/>
  <c r="K1323" i="1" s="1"/>
  <c r="K1319" i="1" a="1"/>
  <c r="K1319" i="1" s="1"/>
  <c r="J1321" i="1" a="1"/>
  <c r="J1321" i="1" s="1"/>
  <c r="I1322" i="1" a="1"/>
  <c r="I1322" i="1" s="1"/>
  <c r="F1319" i="1" a="1"/>
  <c r="F1319" i="1" s="1"/>
  <c r="J1323" i="1" a="1"/>
  <c r="J1323" i="1" s="1"/>
  <c r="F1321" i="1" a="1"/>
  <c r="F1321" i="1" s="1"/>
  <c r="G1324" i="1" a="1"/>
  <c r="G1324" i="1" s="1"/>
  <c r="K1318" i="1" a="1"/>
  <c r="K1318" i="1" s="1"/>
  <c r="H1323" i="1" a="1"/>
  <c r="H1323" i="1" s="1"/>
  <c r="G1323" i="1" a="1"/>
  <c r="G1323" i="1" s="1"/>
  <c r="I1324" i="1" a="1"/>
  <c r="I1324" i="1" s="1"/>
  <c r="I1323" i="1" a="1"/>
  <c r="I1323" i="1" s="1"/>
  <c r="I1318" i="1" a="1"/>
  <c r="I1318" i="1" s="1"/>
  <c r="H1321" i="1" a="1"/>
  <c r="H1321" i="1" s="1"/>
  <c r="I1330" i="1" a="1"/>
  <c r="I1330" i="1" s="1"/>
  <c r="G1319" i="1" a="1"/>
  <c r="G1319" i="1" s="1"/>
  <c r="K1321" i="1" a="1"/>
  <c r="K1321" i="1" s="1"/>
  <c r="J1319" i="1" a="1"/>
  <c r="J1319" i="1" s="1"/>
  <c r="K1330" i="1" a="1"/>
  <c r="K1330" i="1" s="1"/>
  <c r="J1330" i="1" a="1"/>
  <c r="J1330" i="1" s="1"/>
  <c r="H1330" i="1" a="1"/>
  <c r="H1330" i="1" s="1"/>
  <c r="G1330" i="1" a="1"/>
  <c r="G1330" i="1" s="1"/>
  <c r="F1330" i="1" a="1"/>
  <c r="F1330" i="1" s="1"/>
  <c r="K1324" i="1" a="1"/>
  <c r="K1324" i="1" s="1"/>
  <c r="K1322" i="1" a="1"/>
  <c r="K1322" i="1" s="1"/>
  <c r="K1257" i="1" a="1"/>
  <c r="K1257" i="1" s="1"/>
  <c r="F1257" i="1" a="1"/>
  <c r="F1257" i="1" s="1"/>
  <c r="H1259" i="1" a="1"/>
  <c r="H1259" i="1" s="1"/>
  <c r="J1257" i="1" a="1"/>
  <c r="J1257" i="1" s="1"/>
  <c r="I1261" i="1" a="1"/>
  <c r="I1261" i="1" s="1"/>
  <c r="K1259" i="1" a="1"/>
  <c r="K1259" i="1" s="1"/>
  <c r="I1259" i="1" a="1"/>
  <c r="I1259" i="1" s="1"/>
  <c r="J1258" i="1" a="1"/>
  <c r="J1258" i="1" s="1"/>
  <c r="G1257" i="1" a="1"/>
  <c r="G1257" i="1" s="1"/>
  <c r="F1259" i="1" a="1"/>
  <c r="F1259" i="1" s="1"/>
  <c r="H1257" i="1" a="1"/>
  <c r="H1257" i="1" s="1"/>
  <c r="I1316" i="1" a="1"/>
  <c r="I1316" i="1" s="1"/>
  <c r="H1316" i="1" a="1"/>
  <c r="H1316" i="1" s="1"/>
  <c r="G1316" i="1" a="1"/>
  <c r="G1316" i="1" s="1"/>
  <c r="F1316" i="1" a="1"/>
  <c r="F1316" i="1" s="1"/>
  <c r="F1261" i="1" a="1"/>
  <c r="F1261" i="1" s="1"/>
  <c r="G1259" i="1" a="1"/>
  <c r="G1259" i="1" s="1"/>
  <c r="I1257" i="1" a="1"/>
  <c r="I1257" i="1" s="1"/>
  <c r="K1315" i="1" a="1"/>
  <c r="K1315" i="1" s="1"/>
  <c r="J1315" i="1" a="1"/>
  <c r="J1315" i="1" s="1"/>
  <c r="I1315" i="1" a="1"/>
  <c r="I1315" i="1" s="1"/>
  <c r="I1260" i="1" a="1"/>
  <c r="I1260" i="1" s="1"/>
  <c r="H1315" i="1" a="1"/>
  <c r="H1315" i="1" s="1"/>
  <c r="F1258" i="1" a="1"/>
  <c r="F1258" i="1" s="1"/>
  <c r="G1260" i="1" a="1"/>
  <c r="G1260" i="1" s="1"/>
  <c r="J1256" i="1" a="1"/>
  <c r="J1256" i="1" s="1"/>
  <c r="G1315" i="1" a="1"/>
  <c r="G1315" i="1" s="1"/>
  <c r="H1260" i="1" a="1"/>
  <c r="H1260" i="1" s="1"/>
  <c r="K1261" i="1" a="1"/>
  <c r="K1261" i="1" s="1"/>
  <c r="J1261" i="1" a="1"/>
  <c r="J1261" i="1" s="1"/>
  <c r="G1261" i="1" a="1"/>
  <c r="G1261" i="1" s="1"/>
  <c r="J1260" i="1" a="1"/>
  <c r="J1260" i="1" s="1"/>
  <c r="K1256" i="1" a="1"/>
  <c r="K1256" i="1" s="1"/>
  <c r="K1260" i="1" a="1"/>
  <c r="K1260" i="1" s="1"/>
  <c r="F1315" i="1" a="1"/>
  <c r="F1315" i="1" s="1"/>
  <c r="H1261" i="1" a="1"/>
  <c r="H1261" i="1" s="1"/>
  <c r="H1258" i="1" a="1"/>
  <c r="H1258" i="1" s="1"/>
  <c r="K1258" i="1" a="1"/>
  <c r="K1258" i="1" s="1"/>
  <c r="J1259" i="1" a="1"/>
  <c r="J1259" i="1" s="1"/>
  <c r="I1256" i="1" a="1"/>
  <c r="I1256" i="1" s="1"/>
  <c r="F1260" i="1" a="1"/>
  <c r="F1260" i="1" s="1"/>
  <c r="I1258" i="1" a="1"/>
  <c r="I1258" i="1" s="1"/>
  <c r="G1258" i="1" a="1"/>
  <c r="G1258" i="1" s="1"/>
  <c r="I1253" i="1" a="1"/>
  <c r="I1253" i="1" s="1"/>
  <c r="G1253" i="1" a="1"/>
  <c r="G1253" i="1" s="1"/>
  <c r="F1252" i="1" a="1"/>
  <c r="F1252" i="1" s="1"/>
  <c r="K1246" i="1" a="1"/>
  <c r="K1246" i="1" s="1"/>
  <c r="H1253" i="1" a="1"/>
  <c r="H1253" i="1" s="1"/>
  <c r="H1250" i="1" a="1"/>
  <c r="H1250" i="1" s="1"/>
  <c r="F1250" i="1" a="1"/>
  <c r="F1250" i="1" s="1"/>
  <c r="F1253" i="1" a="1"/>
  <c r="F1253" i="1" s="1"/>
  <c r="K1252" i="1" a="1"/>
  <c r="K1252" i="1" s="1"/>
  <c r="J1251" i="1" a="1"/>
  <c r="J1251" i="1" s="1"/>
  <c r="J1250" i="1" a="1"/>
  <c r="J1250" i="1" s="1"/>
  <c r="K1248" i="1" a="1"/>
  <c r="K1248" i="1" s="1"/>
  <c r="G1249" i="1" a="1"/>
  <c r="G1249" i="1" s="1"/>
  <c r="I1249" i="1" a="1"/>
  <c r="I1249" i="1" s="1"/>
  <c r="G1248" i="1" a="1"/>
  <c r="G1248" i="1" s="1"/>
  <c r="I1247" i="1" a="1"/>
  <c r="I1247" i="1" s="1"/>
  <c r="G1252" i="1" a="1"/>
  <c r="G1252" i="1" s="1"/>
  <c r="I1251" i="1" a="1"/>
  <c r="I1251" i="1" s="1"/>
  <c r="K1245" i="1" a="1"/>
  <c r="K1245" i="1" s="1"/>
  <c r="F1251" i="1" a="1"/>
  <c r="F1251" i="1" s="1"/>
  <c r="G1251" i="1" a="1"/>
  <c r="G1251" i="1" s="1"/>
  <c r="G1250" i="1" a="1"/>
  <c r="G1250" i="1" s="1"/>
  <c r="H1249" i="1" a="1"/>
  <c r="H1249" i="1" s="1"/>
  <c r="J1249" i="1" a="1"/>
  <c r="J1249" i="1" s="1"/>
  <c r="F1246" i="1" a="1"/>
  <c r="F1246" i="1" s="1"/>
  <c r="F1248" i="1" a="1"/>
  <c r="F1248" i="1" s="1"/>
  <c r="J1246" i="1" a="1"/>
  <c r="J1246" i="1" s="1"/>
  <c r="K1247" i="1" a="1"/>
  <c r="K1247" i="1" s="1"/>
  <c r="H1256" i="1" a="1"/>
  <c r="H1256" i="1" s="1"/>
  <c r="G1256" i="1" a="1"/>
  <c r="G1256" i="1" s="1"/>
  <c r="J1255" i="1" a="1"/>
  <c r="J1255" i="1" s="1"/>
  <c r="J1247" i="1" a="1"/>
  <c r="J1247" i="1" s="1"/>
  <c r="J1252" i="1" a="1"/>
  <c r="J1252" i="1" s="1"/>
  <c r="I1248" i="1" a="1"/>
  <c r="I1248" i="1" s="1"/>
  <c r="I1246" i="1" a="1"/>
  <c r="I1246" i="1" s="1"/>
  <c r="F1256" i="1" a="1"/>
  <c r="F1256" i="1" s="1"/>
  <c r="K1255" i="1" a="1"/>
  <c r="K1255" i="1" s="1"/>
  <c r="K1254" i="1" a="1"/>
  <c r="K1254" i="1" s="1"/>
  <c r="I1255" i="1" a="1"/>
  <c r="I1255" i="1" s="1"/>
  <c r="H1255" i="1" a="1"/>
  <c r="H1255" i="1" s="1"/>
  <c r="G1255" i="1" a="1"/>
  <c r="G1255" i="1" s="1"/>
  <c r="G1254" i="1" a="1"/>
  <c r="G1254" i="1" s="1"/>
  <c r="J1248" i="1" a="1"/>
  <c r="J1248" i="1" s="1"/>
  <c r="J1253" i="1" a="1"/>
  <c r="J1253" i="1" s="1"/>
  <c r="F1255" i="1" a="1"/>
  <c r="F1255" i="1" s="1"/>
  <c r="J1254" i="1" a="1"/>
  <c r="J1254" i="1" s="1"/>
  <c r="I1254" i="1" a="1"/>
  <c r="I1254" i="1" s="1"/>
  <c r="G1247" i="1" a="1"/>
  <c r="G1247" i="1" s="1"/>
  <c r="K1249" i="1" a="1"/>
  <c r="K1249" i="1" s="1"/>
  <c r="I1252" i="1" a="1"/>
  <c r="I1252" i="1" s="1"/>
  <c r="K1251" i="1" a="1"/>
  <c r="K1251" i="1" s="1"/>
  <c r="H1251" i="1" a="1"/>
  <c r="H1251" i="1" s="1"/>
  <c r="H1247" i="1" a="1"/>
  <c r="H1247" i="1" s="1"/>
  <c r="F1247" i="1" a="1"/>
  <c r="F1247" i="1" s="1"/>
  <c r="H1246" i="1" a="1"/>
  <c r="H1246" i="1" s="1"/>
  <c r="H1248" i="1" a="1"/>
  <c r="H1248" i="1" s="1"/>
  <c r="H1252" i="1" a="1"/>
  <c r="H1252" i="1" s="1"/>
  <c r="K1250" i="1" a="1"/>
  <c r="K1250" i="1" s="1"/>
  <c r="I1250" i="1" a="1"/>
  <c r="I1250" i="1" s="1"/>
  <c r="F1249" i="1" a="1"/>
  <c r="F1249" i="1" s="1"/>
  <c r="G1246" i="1" a="1"/>
  <c r="G1246" i="1" s="1"/>
  <c r="H1254" i="1" a="1"/>
  <c r="H1254" i="1" s="1"/>
  <c r="F1254" i="1" a="1"/>
  <c r="F1254" i="1" s="1"/>
  <c r="K1253" i="1" a="1"/>
  <c r="K1253" i="1" s="1"/>
  <c r="H1242" i="1" a="1"/>
  <c r="H1242" i="1" s="1"/>
  <c r="F1236" i="1" a="1"/>
  <c r="F1236" i="1" s="1"/>
  <c r="J1238" i="1" a="1"/>
  <c r="J1238" i="1" s="1"/>
  <c r="G1237" i="1" a="1"/>
  <c r="G1237" i="1" s="1"/>
  <c r="H1241" i="1" a="1"/>
  <c r="H1241" i="1" s="1"/>
  <c r="F1241" i="1" a="1"/>
  <c r="F1241" i="1" s="1"/>
  <c r="F1238" i="1" a="1"/>
  <c r="F1238" i="1" s="1"/>
  <c r="K1236" i="1" a="1"/>
  <c r="K1236" i="1" s="1"/>
  <c r="K1241" i="1" a="1"/>
  <c r="K1241" i="1" s="1"/>
  <c r="G1236" i="1" a="1"/>
  <c r="G1236" i="1" s="1"/>
  <c r="H1235" i="1" a="1"/>
  <c r="H1235" i="1" s="1"/>
  <c r="J1239" i="1" a="1"/>
  <c r="J1239" i="1" s="1"/>
  <c r="G1239" i="1" a="1"/>
  <c r="G1239" i="1" s="1"/>
  <c r="F1243" i="1" a="1"/>
  <c r="F1243" i="1" s="1"/>
  <c r="I1237" i="1" a="1"/>
  <c r="I1237" i="1" s="1"/>
  <c r="G1235" i="1" a="1"/>
  <c r="G1235" i="1" s="1"/>
  <c r="J1242" i="1" a="1"/>
  <c r="J1242" i="1" s="1"/>
  <c r="I1236" i="1" a="1"/>
  <c r="I1236" i="1" s="1"/>
  <c r="H1236" i="1" a="1"/>
  <c r="H1236" i="1" s="1"/>
  <c r="I1242" i="1" a="1"/>
  <c r="I1242" i="1" s="1"/>
  <c r="K1235" i="1" a="1"/>
  <c r="K1235" i="1" s="1"/>
  <c r="K1242" i="1" a="1"/>
  <c r="K1242" i="1" s="1"/>
  <c r="G1241" i="1" a="1"/>
  <c r="G1241" i="1" s="1"/>
  <c r="J1240" i="1" a="1"/>
  <c r="J1240" i="1" s="1"/>
  <c r="G1240" i="1" a="1"/>
  <c r="G1240" i="1" s="1"/>
  <c r="F1237" i="1" a="1"/>
  <c r="F1237" i="1" s="1"/>
  <c r="I1235" i="1" a="1"/>
  <c r="I1235" i="1" s="1"/>
  <c r="J1236" i="1" a="1"/>
  <c r="J1236" i="1" s="1"/>
  <c r="J1241" i="1" a="1"/>
  <c r="J1241" i="1" s="1"/>
  <c r="I1239" i="1" a="1"/>
  <c r="I1239" i="1" s="1"/>
  <c r="F1239" i="1" a="1"/>
  <c r="F1239" i="1" s="1"/>
  <c r="K1238" i="1" a="1"/>
  <c r="K1238" i="1" s="1"/>
  <c r="G1245" i="1" a="1"/>
  <c r="G1245" i="1" s="1"/>
  <c r="G1242" i="1" a="1"/>
  <c r="G1242" i="1" s="1"/>
  <c r="H1239" i="1" a="1"/>
  <c r="H1239" i="1" s="1"/>
  <c r="I1238" i="1" a="1"/>
  <c r="I1238" i="1" s="1"/>
  <c r="J1245" i="1" a="1"/>
  <c r="J1245" i="1" s="1"/>
  <c r="I1245" i="1" a="1"/>
  <c r="I1245" i="1" s="1"/>
  <c r="H1245" i="1" a="1"/>
  <c r="H1245" i="1" s="1"/>
  <c r="F1245" i="1" a="1"/>
  <c r="F1245" i="1" s="1"/>
  <c r="K1244" i="1" a="1"/>
  <c r="K1244" i="1" s="1"/>
  <c r="J1244" i="1" a="1"/>
  <c r="J1244" i="1" s="1"/>
  <c r="K1237" i="1" a="1"/>
  <c r="K1237" i="1" s="1"/>
  <c r="I1244" i="1" a="1"/>
  <c r="I1244" i="1" s="1"/>
  <c r="G1244" i="1" a="1"/>
  <c r="G1244" i="1" s="1"/>
  <c r="G1243" i="1" a="1"/>
  <c r="G1243" i="1" s="1"/>
  <c r="K1240" i="1" a="1"/>
  <c r="K1240" i="1" s="1"/>
  <c r="I1240" i="1" a="1"/>
  <c r="I1240" i="1" s="1"/>
  <c r="H1240" i="1" a="1"/>
  <c r="H1240" i="1" s="1"/>
  <c r="H1244" i="1" a="1"/>
  <c r="H1244" i="1" s="1"/>
  <c r="F1244" i="1" a="1"/>
  <c r="F1244" i="1" s="1"/>
  <c r="I1241" i="1" a="1"/>
  <c r="I1241" i="1" s="1"/>
  <c r="J1235" i="1" a="1"/>
  <c r="J1235" i="1" s="1"/>
  <c r="G1238" i="1" a="1"/>
  <c r="G1238" i="1" s="1"/>
  <c r="K1243" i="1" a="1"/>
  <c r="K1243" i="1" s="1"/>
  <c r="J1237" i="1" a="1"/>
  <c r="J1237" i="1" s="1"/>
  <c r="H1237" i="1" a="1"/>
  <c r="H1237" i="1" s="1"/>
  <c r="J1243" i="1" a="1"/>
  <c r="J1243" i="1" s="1"/>
  <c r="I1243" i="1" a="1"/>
  <c r="I1243" i="1" s="1"/>
  <c r="K1239" i="1" a="1"/>
  <c r="K1239" i="1" s="1"/>
  <c r="H1243" i="1" a="1"/>
  <c r="H1243" i="1" s="1"/>
  <c r="F1242" i="1" a="1"/>
  <c r="F1242" i="1" s="1"/>
  <c r="H1238" i="1" a="1"/>
  <c r="H1238" i="1" s="1"/>
  <c r="F1240" i="1" a="1"/>
  <c r="F1240" i="1" s="1"/>
  <c r="G1230" i="1" a="1"/>
  <c r="G1230" i="1" s="1"/>
  <c r="G1231" i="1" a="1"/>
  <c r="G1231" i="1" s="1"/>
  <c r="J1230" i="1" a="1"/>
  <c r="J1230" i="1" s="1"/>
  <c r="F1228" i="1" a="1"/>
  <c r="F1228" i="1" s="1"/>
  <c r="H1230" i="1" a="1"/>
  <c r="H1230" i="1" s="1"/>
  <c r="H1231" i="1" a="1"/>
  <c r="H1231" i="1" s="1"/>
  <c r="J1228" i="1" a="1"/>
  <c r="J1228" i="1" s="1"/>
  <c r="J1226" i="1" a="1"/>
  <c r="J1226" i="1" s="1"/>
  <c r="F1235" i="1" a="1"/>
  <c r="F1235" i="1" s="1"/>
  <c r="K1234" i="1" a="1"/>
  <c r="K1234" i="1" s="1"/>
  <c r="J1229" i="1" a="1"/>
  <c r="J1229" i="1" s="1"/>
  <c r="G1227" i="1" a="1"/>
  <c r="G1227" i="1" s="1"/>
  <c r="J1234" i="1" a="1"/>
  <c r="J1234" i="1" s="1"/>
  <c r="J1233" i="1" a="1"/>
  <c r="J1233" i="1" s="1"/>
  <c r="I1233" i="1" a="1"/>
  <c r="I1233" i="1" s="1"/>
  <c r="F1233" i="1" a="1"/>
  <c r="F1233" i="1" s="1"/>
  <c r="H1233" i="1" a="1"/>
  <c r="H1233" i="1" s="1"/>
  <c r="K1230" i="1" a="1"/>
  <c r="K1230" i="1" s="1"/>
  <c r="I1234" i="1" a="1"/>
  <c r="I1234" i="1" s="1"/>
  <c r="J1227" i="1" a="1"/>
  <c r="J1227" i="1" s="1"/>
  <c r="H1232" i="1" a="1"/>
  <c r="H1232" i="1" s="1"/>
  <c r="F1230" i="1" a="1"/>
  <c r="F1230" i="1" s="1"/>
  <c r="G1225" i="1" a="1"/>
  <c r="G1225" i="1" s="1"/>
  <c r="F1226" i="1" a="1"/>
  <c r="F1226" i="1" s="1"/>
  <c r="F1225" i="1" a="1"/>
  <c r="F1225" i="1" s="1"/>
  <c r="H1234" i="1" a="1"/>
  <c r="H1234" i="1" s="1"/>
  <c r="G1234" i="1" a="1"/>
  <c r="G1234" i="1" s="1"/>
  <c r="K1231" i="1" a="1"/>
  <c r="K1231" i="1" s="1"/>
  <c r="H1225" i="1" a="1"/>
  <c r="H1225" i="1" s="1"/>
  <c r="K1224" i="1" a="1"/>
  <c r="K1224" i="1" s="1"/>
  <c r="K1226" i="1" a="1"/>
  <c r="K1226" i="1" s="1"/>
  <c r="J1224" i="1" a="1"/>
  <c r="J1224" i="1" s="1"/>
  <c r="F1234" i="1" a="1"/>
  <c r="F1234" i="1" s="1"/>
  <c r="I1229" i="1" a="1"/>
  <c r="I1229" i="1" s="1"/>
  <c r="F1229" i="1" a="1"/>
  <c r="F1229" i="1" s="1"/>
  <c r="K1233" i="1" a="1"/>
  <c r="K1233" i="1" s="1"/>
  <c r="I1224" i="1" a="1"/>
  <c r="I1224" i="1" s="1"/>
  <c r="F1232" i="1" a="1"/>
  <c r="F1232" i="1" s="1"/>
  <c r="I1232" i="1" a="1"/>
  <c r="I1232" i="1" s="1"/>
  <c r="J1232" i="1" a="1"/>
  <c r="J1232" i="1" s="1"/>
  <c r="F1231" i="1" a="1"/>
  <c r="F1231" i="1" s="1"/>
  <c r="G1226" i="1" a="1"/>
  <c r="G1226" i="1" s="1"/>
  <c r="G1233" i="1" a="1"/>
  <c r="G1233" i="1" s="1"/>
  <c r="I1231" i="1" a="1"/>
  <c r="I1231" i="1" s="1"/>
  <c r="H1227" i="1" a="1"/>
  <c r="H1227" i="1" s="1"/>
  <c r="J1231" i="1" a="1"/>
  <c r="J1231" i="1" s="1"/>
  <c r="I1230" i="1" a="1"/>
  <c r="I1230" i="1" s="1"/>
  <c r="H1228" i="1" a="1"/>
  <c r="H1228" i="1" s="1"/>
  <c r="I1227" i="1" a="1"/>
  <c r="I1227" i="1" s="1"/>
  <c r="J1225" i="1" a="1"/>
  <c r="J1225" i="1" s="1"/>
  <c r="K1228" i="1" a="1"/>
  <c r="K1228" i="1" s="1"/>
  <c r="K1227" i="1" a="1"/>
  <c r="K1227" i="1" s="1"/>
  <c r="F1227" i="1" a="1"/>
  <c r="F1227" i="1" s="1"/>
  <c r="H1229" i="1" a="1"/>
  <c r="H1229" i="1" s="1"/>
  <c r="I1228" i="1" a="1"/>
  <c r="I1228" i="1" s="1"/>
  <c r="K1225" i="1" a="1"/>
  <c r="K1225" i="1" s="1"/>
  <c r="I1226" i="1" a="1"/>
  <c r="I1226" i="1" s="1"/>
  <c r="H1226" i="1" a="1"/>
  <c r="H1226" i="1" s="1"/>
  <c r="G1229" i="1" a="1"/>
  <c r="G1229" i="1" s="1"/>
  <c r="G1228" i="1" a="1"/>
  <c r="G1228" i="1" s="1"/>
  <c r="I1225" i="1" a="1"/>
  <c r="I1225" i="1" s="1"/>
  <c r="K1229" i="1" a="1"/>
  <c r="K1229" i="1" s="1"/>
  <c r="K1232" i="1" a="1"/>
  <c r="K1232" i="1" s="1"/>
  <c r="G1232" i="1" a="1"/>
  <c r="G1232" i="1" s="1"/>
  <c r="G1224" i="1" a="1"/>
  <c r="G1224" i="1" s="1"/>
  <c r="F1224" i="1" a="1"/>
  <c r="F1224" i="1" s="1"/>
  <c r="K1223" i="1" a="1"/>
  <c r="K1223" i="1" s="1"/>
  <c r="J1223" i="1" a="1"/>
  <c r="J1223" i="1" s="1"/>
  <c r="G1214" i="1" a="1"/>
  <c r="G1214" i="1" s="1"/>
  <c r="G1223" i="1" a="1"/>
  <c r="G1223" i="1" s="1"/>
  <c r="I1218" i="1" a="1"/>
  <c r="I1218" i="1" s="1"/>
  <c r="F1215" i="1" a="1"/>
  <c r="F1215" i="1" s="1"/>
  <c r="I1223" i="1" a="1"/>
  <c r="I1223" i="1" s="1"/>
  <c r="J1214" i="1" a="1"/>
  <c r="J1214" i="1" s="1"/>
  <c r="G1221" i="1" a="1"/>
  <c r="G1221" i="1" s="1"/>
  <c r="I1222" i="1" a="1"/>
  <c r="I1222" i="1" s="1"/>
  <c r="I1221" i="1" a="1"/>
  <c r="I1221" i="1" s="1"/>
  <c r="H1223" i="1" a="1"/>
  <c r="H1223" i="1" s="1"/>
  <c r="F1219" i="1" a="1"/>
  <c r="F1219" i="1" s="1"/>
  <c r="I1217" i="1" a="1"/>
  <c r="I1217" i="1" s="1"/>
  <c r="F1223" i="1" a="1"/>
  <c r="F1223" i="1" s="1"/>
  <c r="H1218" i="1" a="1"/>
  <c r="H1218" i="1" s="1"/>
  <c r="K1222" i="1" a="1"/>
  <c r="K1222" i="1" s="1"/>
  <c r="G1222" i="1" a="1"/>
  <c r="G1222" i="1" s="1"/>
  <c r="K1214" i="1" a="1"/>
  <c r="K1214" i="1" s="1"/>
  <c r="H1220" i="1" a="1"/>
  <c r="H1220" i="1" s="1"/>
  <c r="K1215" i="1" a="1"/>
  <c r="K1215" i="1" s="1"/>
  <c r="I1215" i="1" a="1"/>
  <c r="I1215" i="1" s="1"/>
  <c r="F1220" i="1" a="1"/>
  <c r="F1220" i="1" s="1"/>
  <c r="J1215" i="1" a="1"/>
  <c r="J1215" i="1" s="1"/>
  <c r="G1216" i="1" a="1"/>
  <c r="G1216" i="1" s="1"/>
  <c r="J1222" i="1" a="1"/>
  <c r="J1222" i="1" s="1"/>
  <c r="H1217" i="1" a="1"/>
  <c r="H1217" i="1" s="1"/>
  <c r="K1219" i="1" a="1"/>
  <c r="K1219" i="1" s="1"/>
  <c r="G1215" i="1" a="1"/>
  <c r="G1215" i="1" s="1"/>
  <c r="G1217" i="1" a="1"/>
  <c r="G1217" i="1" s="1"/>
  <c r="J1216" i="1" a="1"/>
  <c r="J1216" i="1" s="1"/>
  <c r="H1222" i="1" a="1"/>
  <c r="H1222" i="1" s="1"/>
  <c r="J1220" i="1" a="1"/>
  <c r="J1220" i="1" s="1"/>
  <c r="K1216" i="1" a="1"/>
  <c r="K1216" i="1" s="1"/>
  <c r="I1216" i="1" a="1"/>
  <c r="I1216" i="1" s="1"/>
  <c r="F1218" i="1" a="1"/>
  <c r="F1218" i="1" s="1"/>
  <c r="F1222" i="1" a="1"/>
  <c r="F1222" i="1" s="1"/>
  <c r="H1219" i="1" a="1"/>
  <c r="H1219" i="1" s="1"/>
  <c r="J1218" i="1" a="1"/>
  <c r="J1218" i="1" s="1"/>
  <c r="I1214" i="1" a="1"/>
  <c r="I1214" i="1" s="1"/>
  <c r="K1221" i="1" a="1"/>
  <c r="K1221" i="1" s="1"/>
  <c r="J1221" i="1" a="1"/>
  <c r="J1221" i="1" s="1"/>
  <c r="K1217" i="1" a="1"/>
  <c r="K1217" i="1" s="1"/>
  <c r="H1215" i="1" a="1"/>
  <c r="H1215" i="1" s="1"/>
  <c r="G1220" i="1" a="1"/>
  <c r="G1220" i="1" s="1"/>
  <c r="F1216" i="1" a="1"/>
  <c r="F1216" i="1" s="1"/>
  <c r="J1217" i="1" a="1"/>
  <c r="J1217" i="1" s="1"/>
  <c r="F1217" i="1" a="1"/>
  <c r="F1217" i="1" s="1"/>
  <c r="H1214" i="1" a="1"/>
  <c r="H1214" i="1" s="1"/>
  <c r="I1219" i="1" a="1"/>
  <c r="I1219" i="1" s="1"/>
  <c r="H1221" i="1" a="1"/>
  <c r="H1221" i="1" s="1"/>
  <c r="F1221" i="1" a="1"/>
  <c r="F1221" i="1" s="1"/>
  <c r="G1219" i="1" a="1"/>
  <c r="G1219" i="1" s="1"/>
  <c r="J1219" i="1" a="1"/>
  <c r="J1219" i="1" s="1"/>
  <c r="G1218" i="1" a="1"/>
  <c r="G1218" i="1" s="1"/>
  <c r="K1220" i="1" a="1"/>
  <c r="K1220" i="1" s="1"/>
  <c r="I1220" i="1" a="1"/>
  <c r="I1220" i="1" s="1"/>
  <c r="K1218" i="1" a="1"/>
  <c r="K1218" i="1" s="1"/>
  <c r="H1216" i="1" a="1"/>
  <c r="H1216" i="1" s="1"/>
  <c r="H1224" i="1" a="1"/>
  <c r="H1224" i="1" s="1"/>
  <c r="J1207" i="1" a="1"/>
  <c r="J1207" i="1" s="1"/>
  <c r="F1210" i="1" a="1"/>
  <c r="F1210" i="1" s="1"/>
  <c r="I1207" i="1" a="1"/>
  <c r="I1207" i="1" s="1"/>
  <c r="J1209" i="1" a="1"/>
  <c r="J1209" i="1" s="1"/>
  <c r="J1206" i="1" a="1"/>
  <c r="J1206" i="1" s="1"/>
  <c r="H1213" i="1" a="1"/>
  <c r="H1213" i="1" s="1"/>
  <c r="G1210" i="1" a="1"/>
  <c r="G1210" i="1" s="1"/>
  <c r="G1206" i="1" a="1"/>
  <c r="G1206" i="1" s="1"/>
  <c r="J1210" i="1" a="1"/>
  <c r="J1210" i="1" s="1"/>
  <c r="K1209" i="1" a="1"/>
  <c r="K1209" i="1" s="1"/>
  <c r="J1213" i="1" a="1"/>
  <c r="J1213" i="1" s="1"/>
  <c r="K1206" i="1" a="1"/>
  <c r="K1206" i="1" s="1"/>
  <c r="J1212" i="1" a="1"/>
  <c r="J1212" i="1" s="1"/>
  <c r="F1207" i="1" a="1"/>
  <c r="F1207" i="1" s="1"/>
  <c r="K1200" i="1" a="1"/>
  <c r="K1200" i="1" s="1"/>
  <c r="K1207" i="1" a="1"/>
  <c r="K1207" i="1" s="1"/>
  <c r="G1208" i="1" a="1"/>
  <c r="G1208" i="1" s="1"/>
  <c r="I1212" i="1" a="1"/>
  <c r="I1212" i="1" s="1"/>
  <c r="F1206" i="1" a="1"/>
  <c r="F1206" i="1" s="1"/>
  <c r="H1210" i="1" a="1"/>
  <c r="H1210" i="1" s="1"/>
  <c r="H1209" i="1" a="1"/>
  <c r="H1209" i="1" s="1"/>
  <c r="H1212" i="1" a="1"/>
  <c r="H1212" i="1" s="1"/>
  <c r="F1200" i="1" a="1"/>
  <c r="F1200" i="1" s="1"/>
  <c r="F1214" i="1" a="1"/>
  <c r="F1214" i="1" s="1"/>
  <c r="G1213" i="1" a="1"/>
  <c r="G1213" i="1" s="1"/>
  <c r="F1213" i="1" a="1"/>
  <c r="F1213" i="1" s="1"/>
  <c r="K1212" i="1" a="1"/>
  <c r="K1212" i="1" s="1"/>
  <c r="I1209" i="1" a="1"/>
  <c r="I1209" i="1" s="1"/>
  <c r="H1200" i="1" a="1"/>
  <c r="H1200" i="1" s="1"/>
  <c r="F1209" i="1" a="1"/>
  <c r="F1209" i="1" s="1"/>
  <c r="J1200" i="1" a="1"/>
  <c r="J1200" i="1" s="1"/>
  <c r="G1200" i="1" a="1"/>
  <c r="G1200" i="1" s="1"/>
  <c r="I1200" i="1" a="1"/>
  <c r="I1200" i="1" s="1"/>
  <c r="G1212" i="1" a="1"/>
  <c r="G1212" i="1" s="1"/>
  <c r="J1208" i="1" a="1"/>
  <c r="J1208" i="1" s="1"/>
  <c r="H1207" i="1" a="1"/>
  <c r="H1207" i="1" s="1"/>
  <c r="G1209" i="1" a="1"/>
  <c r="G1209" i="1" s="1"/>
  <c r="F1212" i="1" a="1"/>
  <c r="F1212" i="1" s="1"/>
  <c r="K1210" i="1" a="1"/>
  <c r="K1210" i="1" s="1"/>
  <c r="I1210" i="1" a="1"/>
  <c r="I1210" i="1" s="1"/>
  <c r="F1208" i="1" a="1"/>
  <c r="F1208" i="1" s="1"/>
  <c r="K1208" i="1" a="1"/>
  <c r="K1208" i="1" s="1"/>
  <c r="H1208" i="1" a="1"/>
  <c r="H1208" i="1" s="1"/>
  <c r="H1206" i="1" a="1"/>
  <c r="H1206" i="1" s="1"/>
  <c r="G1207" i="1" a="1"/>
  <c r="G1207" i="1" s="1"/>
  <c r="I1206" i="1" a="1"/>
  <c r="I1206" i="1" s="1"/>
  <c r="K1213" i="1" a="1"/>
  <c r="K1213" i="1" s="1"/>
  <c r="I1213" i="1" a="1"/>
  <c r="I1213" i="1" s="1"/>
  <c r="I1208" i="1" a="1"/>
  <c r="I1208" i="1" s="1"/>
  <c r="J1196" i="1" a="1"/>
  <c r="J1196" i="1" s="1"/>
  <c r="H1193" i="1" a="1"/>
  <c r="H1193" i="1" s="1"/>
  <c r="J1190" i="1" a="1"/>
  <c r="J1190" i="1" s="1"/>
  <c r="H1190" i="1" a="1"/>
  <c r="H1190" i="1" s="1"/>
  <c r="H1189" i="1" a="1"/>
  <c r="H1189" i="1" s="1"/>
  <c r="F1198" i="1" a="1"/>
  <c r="F1198" i="1" s="1"/>
  <c r="H1197" i="1" a="1"/>
  <c r="H1197" i="1" s="1"/>
  <c r="J1193" i="1" a="1"/>
  <c r="J1193" i="1" s="1"/>
  <c r="G1197" i="1" a="1"/>
  <c r="G1197" i="1" s="1"/>
  <c r="H1194" i="1" a="1"/>
  <c r="H1194" i="1" s="1"/>
  <c r="K1194" i="1" a="1"/>
  <c r="K1194" i="1" s="1"/>
  <c r="I1191" i="1" a="1"/>
  <c r="I1191" i="1" s="1"/>
  <c r="J1194" i="1" a="1"/>
  <c r="J1194" i="1" s="1"/>
  <c r="K1193" i="1" a="1"/>
  <c r="K1193" i="1" s="1"/>
  <c r="I1193" i="1" a="1"/>
  <c r="I1193" i="1" s="1"/>
  <c r="K1191" i="1" a="1"/>
  <c r="K1191" i="1" s="1"/>
  <c r="G1192" i="1" a="1"/>
  <c r="G1192" i="1" s="1"/>
  <c r="J1191" i="1" a="1"/>
  <c r="J1191" i="1" s="1"/>
  <c r="I1189" i="1" a="1"/>
  <c r="I1189" i="1" s="1"/>
  <c r="G1191" i="1" a="1"/>
  <c r="G1191" i="1" s="1"/>
  <c r="K1195" i="1" a="1"/>
  <c r="K1195" i="1" s="1"/>
  <c r="K1199" i="1" a="1"/>
  <c r="K1199" i="1" s="1"/>
  <c r="J1199" i="1" a="1"/>
  <c r="J1199" i="1" s="1"/>
  <c r="F1197" i="1" a="1"/>
  <c r="F1197" i="1" s="1"/>
  <c r="I1194" i="1" a="1"/>
  <c r="I1194" i="1" s="1"/>
  <c r="K1189" i="1" a="1"/>
  <c r="K1189" i="1" s="1"/>
  <c r="I1199" i="1" a="1"/>
  <c r="I1199" i="1" s="1"/>
  <c r="H1195" i="1" a="1"/>
  <c r="H1195" i="1" s="1"/>
  <c r="G1190" i="1" a="1"/>
  <c r="G1190" i="1" s="1"/>
  <c r="K1192" i="1" a="1"/>
  <c r="K1192" i="1" s="1"/>
  <c r="H1199" i="1" a="1"/>
  <c r="H1199" i="1" s="1"/>
  <c r="G1199" i="1" a="1"/>
  <c r="G1199" i="1" s="1"/>
  <c r="F1190" i="1" a="1"/>
  <c r="F1190" i="1" s="1"/>
  <c r="J1198" i="1" a="1"/>
  <c r="J1198" i="1" s="1"/>
  <c r="I1190" i="1" a="1"/>
  <c r="I1190" i="1" s="1"/>
  <c r="I1197" i="1" a="1"/>
  <c r="I1197" i="1" s="1"/>
  <c r="I1196" i="1" a="1"/>
  <c r="I1196" i="1" s="1"/>
  <c r="H1198" i="1" a="1"/>
  <c r="H1198" i="1" s="1"/>
  <c r="I1192" i="1" a="1"/>
  <c r="I1192" i="1" s="1"/>
  <c r="F1195" i="1" a="1"/>
  <c r="F1195" i="1" s="1"/>
  <c r="K1197" i="1" a="1"/>
  <c r="K1197" i="1" s="1"/>
  <c r="J1197" i="1" a="1"/>
  <c r="J1197" i="1" s="1"/>
  <c r="F1191" i="1" a="1"/>
  <c r="F1191" i="1" s="1"/>
  <c r="G1196" i="1" a="1"/>
  <c r="G1196" i="1" s="1"/>
  <c r="I1195" i="1" a="1"/>
  <c r="I1195" i="1" s="1"/>
  <c r="F1194" i="1" a="1"/>
  <c r="F1194" i="1" s="1"/>
  <c r="F1192" i="1" a="1"/>
  <c r="F1192" i="1" s="1"/>
  <c r="F1193" i="1" a="1"/>
  <c r="F1193" i="1" s="1"/>
  <c r="F1196" i="1" a="1"/>
  <c r="F1196" i="1" s="1"/>
  <c r="J1195" i="1" a="1"/>
  <c r="J1195" i="1" s="1"/>
  <c r="G1194" i="1" a="1"/>
  <c r="G1194" i="1" s="1"/>
  <c r="J1189" i="1" a="1"/>
  <c r="J1189" i="1" s="1"/>
  <c r="G1193" i="1" a="1"/>
  <c r="G1193" i="1" s="1"/>
  <c r="H1192" i="1" a="1"/>
  <c r="H1192" i="1" s="1"/>
  <c r="K1190" i="1" a="1"/>
  <c r="K1190" i="1" s="1"/>
  <c r="F1199" i="1" a="1"/>
  <c r="F1199" i="1" s="1"/>
  <c r="H1191" i="1" a="1"/>
  <c r="H1191" i="1" s="1"/>
  <c r="K1196" i="1" a="1"/>
  <c r="K1196" i="1" s="1"/>
  <c r="G1195" i="1" a="1"/>
  <c r="G1195" i="1" s="1"/>
  <c r="K1198" i="1" a="1"/>
  <c r="K1198" i="1" s="1"/>
  <c r="I1198" i="1" a="1"/>
  <c r="I1198" i="1" s="1"/>
  <c r="J1192" i="1" a="1"/>
  <c r="J1192" i="1" s="1"/>
  <c r="G1198" i="1" a="1"/>
  <c r="G1198" i="1" s="1"/>
  <c r="H1196" i="1" a="1"/>
  <c r="H1196" i="1" s="1"/>
  <c r="J1185" i="1" a="1"/>
  <c r="J1185" i="1" s="1"/>
  <c r="G1184" i="1" a="1"/>
  <c r="G1184" i="1" s="1"/>
  <c r="K1176" i="1" a="1"/>
  <c r="K1176" i="1" s="1"/>
  <c r="I1186" i="1" a="1"/>
  <c r="I1186" i="1" s="1"/>
  <c r="J1177" i="1" a="1"/>
  <c r="J1177" i="1" s="1"/>
  <c r="G1187" i="1" a="1"/>
  <c r="G1187" i="1" s="1"/>
  <c r="F1186" i="1" a="1"/>
  <c r="F1186" i="1" s="1"/>
  <c r="G1177" i="1" a="1"/>
  <c r="G1177" i="1" s="1"/>
  <c r="I1183" i="1" a="1"/>
  <c r="I1183" i="1" s="1"/>
  <c r="K1177" i="1" a="1"/>
  <c r="K1177" i="1" s="1"/>
  <c r="F1188" i="1" a="1"/>
  <c r="F1188" i="1" s="1"/>
  <c r="K1183" i="1" a="1"/>
  <c r="K1183" i="1" s="1"/>
  <c r="J1183" i="1" a="1"/>
  <c r="J1183" i="1" s="1"/>
  <c r="F1187" i="1" a="1"/>
  <c r="F1187" i="1" s="1"/>
  <c r="K1185" i="1" a="1"/>
  <c r="K1185" i="1" s="1"/>
  <c r="G1189" i="1" a="1"/>
  <c r="G1189" i="1" s="1"/>
  <c r="F1189" i="1" a="1"/>
  <c r="F1189" i="1" s="1"/>
  <c r="K1188" i="1" a="1"/>
  <c r="K1188" i="1" s="1"/>
  <c r="H1186" i="1" a="1"/>
  <c r="H1186" i="1" s="1"/>
  <c r="G1186" i="1" a="1"/>
  <c r="G1186" i="1" s="1"/>
  <c r="I1185" i="1" a="1"/>
  <c r="I1185" i="1" s="1"/>
  <c r="K1184" i="1" a="1"/>
  <c r="K1184" i="1" s="1"/>
  <c r="I1176" i="1" a="1"/>
  <c r="I1176" i="1" s="1"/>
  <c r="H1183" i="1" a="1"/>
  <c r="H1183" i="1" s="1"/>
  <c r="G1183" i="1" a="1"/>
  <c r="G1183" i="1" s="1"/>
  <c r="H1184" i="1" a="1"/>
  <c r="H1184" i="1" s="1"/>
  <c r="F1183" i="1" a="1"/>
  <c r="F1183" i="1" s="1"/>
  <c r="I1177" i="1" a="1"/>
  <c r="I1177" i="1" s="1"/>
  <c r="H1177" i="1" a="1"/>
  <c r="H1177" i="1" s="1"/>
  <c r="J1188" i="1" a="1"/>
  <c r="J1188" i="1" s="1"/>
  <c r="I1188" i="1" a="1"/>
  <c r="I1188" i="1" s="1"/>
  <c r="J1176" i="1" a="1"/>
  <c r="J1176" i="1" s="1"/>
  <c r="H1188" i="1" a="1"/>
  <c r="H1188" i="1" s="1"/>
  <c r="F1184" i="1" a="1"/>
  <c r="F1184" i="1" s="1"/>
  <c r="K1187" i="1" a="1"/>
  <c r="K1187" i="1" s="1"/>
  <c r="H1187" i="1" a="1"/>
  <c r="H1187" i="1" s="1"/>
  <c r="K1186" i="1" a="1"/>
  <c r="K1186" i="1" s="1"/>
  <c r="H1176" i="1" a="1"/>
  <c r="H1176" i="1" s="1"/>
  <c r="F1185" i="1" a="1"/>
  <c r="F1185" i="1" s="1"/>
  <c r="G1188" i="1" a="1"/>
  <c r="G1188" i="1" s="1"/>
  <c r="J1187" i="1" a="1"/>
  <c r="J1187" i="1" s="1"/>
  <c r="H1185" i="1" a="1"/>
  <c r="H1185" i="1" s="1"/>
  <c r="I1187" i="1" a="1"/>
  <c r="I1187" i="1" s="1"/>
  <c r="J1186" i="1" a="1"/>
  <c r="J1186" i="1" s="1"/>
  <c r="F1177" i="1" a="1"/>
  <c r="F1177" i="1" s="1"/>
  <c r="J1184" i="1" a="1"/>
  <c r="J1184" i="1" s="1"/>
  <c r="I1184" i="1" a="1"/>
  <c r="I1184" i="1" s="1"/>
  <c r="G1185" i="1" a="1"/>
  <c r="G1185" i="1" s="1"/>
  <c r="H1170" i="1" a="1"/>
  <c r="H1170" i="1" s="1"/>
  <c r="G1170" i="1" a="1"/>
  <c r="G1170" i="1" s="1"/>
  <c r="H1167" i="1" a="1"/>
  <c r="H1167" i="1" s="1"/>
  <c r="H1166" i="1" a="1"/>
  <c r="H1166" i="1" s="1"/>
  <c r="G1173" i="1" a="1"/>
  <c r="G1173" i="1" s="1"/>
  <c r="J1171" i="1" a="1"/>
  <c r="J1171" i="1" s="1"/>
  <c r="F1173" i="1" a="1"/>
  <c r="F1173" i="1" s="1"/>
  <c r="I1172" i="1" a="1"/>
  <c r="I1172" i="1" s="1"/>
  <c r="H1172" i="1" a="1"/>
  <c r="H1172" i="1" s="1"/>
  <c r="J1170" i="1" a="1"/>
  <c r="J1170" i="1" s="1"/>
  <c r="J1169" i="1" a="1"/>
  <c r="J1169" i="1" s="1"/>
  <c r="I1169" i="1" a="1"/>
  <c r="I1169" i="1" s="1"/>
  <c r="K1168" i="1" a="1"/>
  <c r="K1168" i="1" s="1"/>
  <c r="J1168" i="1" a="1"/>
  <c r="J1168" i="1" s="1"/>
  <c r="I1167" i="1" a="1"/>
  <c r="I1167" i="1" s="1"/>
  <c r="K1165" i="1" a="1"/>
  <c r="K1165" i="1" s="1"/>
  <c r="J1167" i="1" a="1"/>
  <c r="J1167" i="1" s="1"/>
  <c r="K1166" i="1" a="1"/>
  <c r="K1166" i="1" s="1"/>
  <c r="F1167" i="1" a="1"/>
  <c r="F1167" i="1" s="1"/>
  <c r="H1168" i="1" a="1"/>
  <c r="H1168" i="1" s="1"/>
  <c r="G1168" i="1" a="1"/>
  <c r="G1168" i="1" s="1"/>
  <c r="J1165" i="1" a="1"/>
  <c r="J1165" i="1" s="1"/>
  <c r="I1171" i="1" a="1"/>
  <c r="I1171" i="1" s="1"/>
  <c r="G1176" i="1" a="1"/>
  <c r="G1176" i="1" s="1"/>
  <c r="F1168" i="1" a="1"/>
  <c r="F1168" i="1" s="1"/>
  <c r="F1176" i="1" a="1"/>
  <c r="F1176" i="1" s="1"/>
  <c r="F1170" i="1" a="1"/>
  <c r="F1170" i="1" s="1"/>
  <c r="G1169" i="1" a="1"/>
  <c r="G1169" i="1" s="1"/>
  <c r="I1174" i="1" a="1"/>
  <c r="I1174" i="1" s="1"/>
  <c r="K1175" i="1" a="1"/>
  <c r="K1175" i="1" s="1"/>
  <c r="F1174" i="1" a="1"/>
  <c r="F1174" i="1" s="1"/>
  <c r="I1170" i="1" a="1"/>
  <c r="I1170" i="1" s="1"/>
  <c r="J1166" i="1" a="1"/>
  <c r="J1166" i="1" s="1"/>
  <c r="J1175" i="1" a="1"/>
  <c r="J1175" i="1" s="1"/>
  <c r="G1175" i="1" a="1"/>
  <c r="G1175" i="1" s="1"/>
  <c r="G1167" i="1" a="1"/>
  <c r="G1167" i="1" s="1"/>
  <c r="G1166" i="1" a="1"/>
  <c r="G1166" i="1" s="1"/>
  <c r="I1175" i="1" a="1"/>
  <c r="I1175" i="1" s="1"/>
  <c r="H1175" i="1" a="1"/>
  <c r="H1175" i="1" s="1"/>
  <c r="F1175" i="1" a="1"/>
  <c r="F1175" i="1" s="1"/>
  <c r="K1174" i="1" a="1"/>
  <c r="K1174" i="1" s="1"/>
  <c r="F1172" i="1" a="1"/>
  <c r="F1172" i="1" s="1"/>
  <c r="K1167" i="1" a="1"/>
  <c r="K1167" i="1" s="1"/>
  <c r="G1174" i="1" a="1"/>
  <c r="G1174" i="1" s="1"/>
  <c r="K1173" i="1" a="1"/>
  <c r="K1173" i="1" s="1"/>
  <c r="J1173" i="1" a="1"/>
  <c r="J1173" i="1" s="1"/>
  <c r="J1172" i="1" a="1"/>
  <c r="J1172" i="1" s="1"/>
  <c r="K1169" i="1" a="1"/>
  <c r="K1169" i="1" s="1"/>
  <c r="H1173" i="1" a="1"/>
  <c r="H1173" i="1" s="1"/>
  <c r="I1173" i="1" a="1"/>
  <c r="I1173" i="1" s="1"/>
  <c r="K1172" i="1" a="1"/>
  <c r="K1172" i="1" s="1"/>
  <c r="H1171" i="1" a="1"/>
  <c r="H1171" i="1" s="1"/>
  <c r="G1172" i="1" a="1"/>
  <c r="G1172" i="1" s="1"/>
  <c r="G1171" i="1" a="1"/>
  <c r="G1171" i="1" s="1"/>
  <c r="F1171" i="1" a="1"/>
  <c r="F1171" i="1" s="1"/>
  <c r="H1169" i="1" a="1"/>
  <c r="H1169" i="1" s="1"/>
  <c r="I1168" i="1" a="1"/>
  <c r="I1168" i="1" s="1"/>
  <c r="I1166" i="1" a="1"/>
  <c r="I1166" i="1" s="1"/>
  <c r="K1171" i="1" a="1"/>
  <c r="K1171" i="1" s="1"/>
  <c r="K1170" i="1" a="1"/>
  <c r="K1170" i="1" s="1"/>
  <c r="F1169" i="1" a="1"/>
  <c r="F1169" i="1" s="1"/>
  <c r="J1174" i="1" a="1"/>
  <c r="J1174" i="1" s="1"/>
  <c r="H1174" i="1" a="1"/>
  <c r="H1174" i="1" s="1"/>
  <c r="F1166" i="1" a="1"/>
  <c r="F1166" i="1" s="1"/>
  <c r="G1154" i="1" a="1"/>
  <c r="G1154" i="1" s="1"/>
  <c r="J1160" i="1" a="1"/>
  <c r="J1160" i="1" s="1"/>
  <c r="J1152" i="1" a="1"/>
  <c r="J1152" i="1" s="1"/>
  <c r="H1165" i="1" a="1"/>
  <c r="H1165" i="1" s="1"/>
  <c r="G1165" i="1" a="1"/>
  <c r="G1165" i="1" s="1"/>
  <c r="G1163" i="1" a="1"/>
  <c r="G1163" i="1" s="1"/>
  <c r="F1160" i="1" a="1"/>
  <c r="F1160" i="1" s="1"/>
  <c r="H1152" i="1" a="1"/>
  <c r="H1152" i="1" s="1"/>
  <c r="F1165" i="1" a="1"/>
  <c r="F1165" i="1" s="1"/>
  <c r="J1164" i="1" a="1"/>
  <c r="J1164" i="1" s="1"/>
  <c r="I1164" i="1" a="1"/>
  <c r="I1164" i="1" s="1"/>
  <c r="K1154" i="1" a="1"/>
  <c r="K1154" i="1" s="1"/>
  <c r="G1164" i="1" a="1"/>
  <c r="G1164" i="1" s="1"/>
  <c r="J1163" i="1" a="1"/>
  <c r="J1163" i="1" s="1"/>
  <c r="G1162" i="1" a="1"/>
  <c r="G1162" i="1" s="1"/>
  <c r="J1154" i="1" a="1"/>
  <c r="J1154" i="1" s="1"/>
  <c r="J1161" i="1" a="1"/>
  <c r="J1161" i="1" s="1"/>
  <c r="I1160" i="1" a="1"/>
  <c r="I1160" i="1" s="1"/>
  <c r="F1153" i="1" a="1"/>
  <c r="F1153" i="1" s="1"/>
  <c r="I1154" i="1" a="1"/>
  <c r="I1154" i="1" s="1"/>
  <c r="F1154" i="1" a="1"/>
  <c r="F1154" i="1" s="1"/>
  <c r="G1161" i="1" a="1"/>
  <c r="G1161" i="1" s="1"/>
  <c r="J1153" i="1" a="1"/>
  <c r="J1153" i="1" s="1"/>
  <c r="H1153" i="1" a="1"/>
  <c r="H1153" i="1" s="1"/>
  <c r="I1165" i="1" a="1"/>
  <c r="I1165" i="1" s="1"/>
  <c r="K1163" i="1" a="1"/>
  <c r="K1163" i="1" s="1"/>
  <c r="I1163" i="1" a="1"/>
  <c r="I1163" i="1" s="1"/>
  <c r="H1163" i="1" a="1"/>
  <c r="H1163" i="1" s="1"/>
  <c r="I1152" i="1" a="1"/>
  <c r="I1152" i="1" s="1"/>
  <c r="F1163" i="1" a="1"/>
  <c r="F1163" i="1" s="1"/>
  <c r="K1162" i="1" a="1"/>
  <c r="K1162" i="1" s="1"/>
  <c r="F1161" i="1" a="1"/>
  <c r="F1161" i="1" s="1"/>
  <c r="G1160" i="1" a="1"/>
  <c r="G1160" i="1" s="1"/>
  <c r="H1160" i="1" a="1"/>
  <c r="H1160" i="1" s="1"/>
  <c r="K1153" i="1" a="1"/>
  <c r="K1153" i="1" s="1"/>
  <c r="K1164" i="1" a="1"/>
  <c r="K1164" i="1" s="1"/>
  <c r="H1164" i="1" a="1"/>
  <c r="H1164" i="1" s="1"/>
  <c r="J1162" i="1" a="1"/>
  <c r="J1162" i="1" s="1"/>
  <c r="K1152" i="1" a="1"/>
  <c r="K1152" i="1" s="1"/>
  <c r="K1160" i="1" a="1"/>
  <c r="K1160" i="1" s="1"/>
  <c r="I1153" i="1" a="1"/>
  <c r="I1153" i="1" s="1"/>
  <c r="F1162" i="1" a="1"/>
  <c r="F1162" i="1" s="1"/>
  <c r="H1154" i="1" a="1"/>
  <c r="H1154" i="1" s="1"/>
  <c r="I1162" i="1" a="1"/>
  <c r="I1162" i="1" s="1"/>
  <c r="H1161" i="1" a="1"/>
  <c r="H1161" i="1" s="1"/>
  <c r="F1164" i="1" a="1"/>
  <c r="F1164" i="1" s="1"/>
  <c r="G1153" i="1" a="1"/>
  <c r="G1153" i="1" s="1"/>
  <c r="H1162" i="1" a="1"/>
  <c r="H1162" i="1" s="1"/>
  <c r="K1161" i="1" a="1"/>
  <c r="K1161" i="1" s="1"/>
  <c r="I1161" i="1" a="1"/>
  <c r="I1161" i="1" s="1"/>
  <c r="I1146" i="1" a="1"/>
  <c r="I1146" i="1" s="1"/>
  <c r="K1145" i="1" a="1"/>
  <c r="K1145" i="1" s="1"/>
  <c r="G1145" i="1" a="1"/>
  <c r="G1145" i="1" s="1"/>
  <c r="K1143" i="1" a="1"/>
  <c r="K1143" i="1" s="1"/>
  <c r="G1140" i="1" a="1"/>
  <c r="G1140" i="1" s="1"/>
  <c r="H1142" i="1" a="1"/>
  <c r="H1142" i="1" s="1"/>
  <c r="F1147" i="1" a="1"/>
  <c r="F1147" i="1" s="1"/>
  <c r="H1143" i="1" a="1"/>
  <c r="H1143" i="1" s="1"/>
  <c r="J1144" i="1" a="1"/>
  <c r="J1144" i="1" s="1"/>
  <c r="K1142" i="1" a="1"/>
  <c r="K1142" i="1" s="1"/>
  <c r="F1152" i="1" a="1"/>
  <c r="F1152" i="1" s="1"/>
  <c r="G1143" i="1" a="1"/>
  <c r="G1143" i="1" s="1"/>
  <c r="G1144" i="1" a="1"/>
  <c r="G1144" i="1" s="1"/>
  <c r="H1140" i="1" a="1"/>
  <c r="H1140" i="1" s="1"/>
  <c r="K1146" i="1" a="1"/>
  <c r="K1146" i="1" s="1"/>
  <c r="I1143" i="1" a="1"/>
  <c r="I1143" i="1" s="1"/>
  <c r="K1144" i="1" a="1"/>
  <c r="K1144" i="1" s="1"/>
  <c r="J1143" i="1" a="1"/>
  <c r="J1143" i="1" s="1"/>
  <c r="I1148" i="1" a="1"/>
  <c r="I1148" i="1" s="1"/>
  <c r="G1152" i="1" a="1"/>
  <c r="G1152" i="1" s="1"/>
  <c r="J1146" i="1" a="1"/>
  <c r="J1146" i="1" s="1"/>
  <c r="K1151" i="1" a="1"/>
  <c r="K1151" i="1" s="1"/>
  <c r="H1151" i="1" a="1"/>
  <c r="H1151" i="1" s="1"/>
  <c r="H1141" i="1" a="1"/>
  <c r="H1141" i="1" s="1"/>
  <c r="K1148" i="1" a="1"/>
  <c r="K1148" i="1" s="1"/>
  <c r="H1146" i="1" a="1"/>
  <c r="H1146" i="1" s="1"/>
  <c r="J1145" i="1" a="1"/>
  <c r="J1145" i="1" s="1"/>
  <c r="J1151" i="1" a="1"/>
  <c r="J1151" i="1" s="1"/>
  <c r="G1151" i="1" a="1"/>
  <c r="G1151" i="1" s="1"/>
  <c r="F1142" i="1" a="1"/>
  <c r="F1142" i="1" s="1"/>
  <c r="J1148" i="1" a="1"/>
  <c r="J1148" i="1" s="1"/>
  <c r="G1148" i="1" a="1"/>
  <c r="G1148" i="1" s="1"/>
  <c r="F1148" i="1" a="1"/>
  <c r="F1148" i="1" s="1"/>
  <c r="F1146" i="1" a="1"/>
  <c r="F1146" i="1" s="1"/>
  <c r="H1145" i="1" a="1"/>
  <c r="H1145" i="1" s="1"/>
  <c r="I1144" i="1" a="1"/>
  <c r="I1144" i="1" s="1"/>
  <c r="H1144" i="1" a="1"/>
  <c r="H1144" i="1" s="1"/>
  <c r="J1140" i="1" a="1"/>
  <c r="J1140" i="1" s="1"/>
  <c r="I1142" i="1" a="1"/>
  <c r="I1142" i="1" s="1"/>
  <c r="J1142" i="1" a="1"/>
  <c r="J1142" i="1" s="1"/>
  <c r="I1141" i="1" a="1"/>
  <c r="I1141" i="1" s="1"/>
  <c r="K1141" i="1" a="1"/>
  <c r="K1141" i="1" s="1"/>
  <c r="K1140" i="1" a="1"/>
  <c r="K1140" i="1" s="1"/>
  <c r="K1147" i="1" a="1"/>
  <c r="K1147" i="1" s="1"/>
  <c r="F1145" i="1" a="1"/>
  <c r="F1145" i="1" s="1"/>
  <c r="F1141" i="1" a="1"/>
  <c r="F1141" i="1" s="1"/>
  <c r="G1142" i="1" a="1"/>
  <c r="G1142" i="1" s="1"/>
  <c r="G1141" i="1" a="1"/>
  <c r="G1141" i="1" s="1"/>
  <c r="I1140" i="1" a="1"/>
  <c r="I1140" i="1" s="1"/>
  <c r="I1147" i="1" a="1"/>
  <c r="I1147" i="1" s="1"/>
  <c r="H1147" i="1" a="1"/>
  <c r="H1147" i="1" s="1"/>
  <c r="G1147" i="1" a="1"/>
  <c r="G1147" i="1" s="1"/>
  <c r="F1151" i="1" a="1"/>
  <c r="F1151" i="1" s="1"/>
  <c r="F1143" i="1" a="1"/>
  <c r="F1143" i="1" s="1"/>
  <c r="F1144" i="1" a="1"/>
  <c r="F1144" i="1" s="1"/>
  <c r="G1146" i="1" a="1"/>
  <c r="G1146" i="1" s="1"/>
  <c r="I1145" i="1" a="1"/>
  <c r="I1145" i="1" s="1"/>
  <c r="J1141" i="1" a="1"/>
  <c r="J1141" i="1" s="1"/>
  <c r="I1151" i="1" a="1"/>
  <c r="I1151" i="1" s="1"/>
  <c r="H1148" i="1" a="1"/>
  <c r="H1148" i="1" s="1"/>
  <c r="J1147" i="1" a="1"/>
  <c r="J1147" i="1" s="1"/>
  <c r="K1139" i="1" a="1"/>
  <c r="K1139" i="1" s="1"/>
  <c r="H1139" i="1" a="1"/>
  <c r="H1139" i="1" s="1"/>
  <c r="J1138" i="1" a="1"/>
  <c r="J1138" i="1" s="1"/>
  <c r="G1139" i="1" a="1"/>
  <c r="G1139" i="1" s="1"/>
  <c r="K1136" i="1" a="1"/>
  <c r="K1136" i="1" s="1"/>
  <c r="F1139" i="1" a="1"/>
  <c r="F1139" i="1" s="1"/>
  <c r="G1138" i="1" a="1"/>
  <c r="G1138" i="1" s="1"/>
  <c r="I1137" i="1" a="1"/>
  <c r="I1137" i="1" s="1"/>
  <c r="H1137" i="1" a="1"/>
  <c r="H1137" i="1" s="1"/>
  <c r="G1137" i="1" a="1"/>
  <c r="G1137" i="1" s="1"/>
  <c r="J1136" i="1" a="1"/>
  <c r="J1136" i="1" s="1"/>
  <c r="H1136" i="1" a="1"/>
  <c r="H1136" i="1" s="1"/>
  <c r="K1138" i="1" a="1"/>
  <c r="K1138" i="1" s="1"/>
  <c r="G1136" i="1" a="1"/>
  <c r="G1136" i="1" s="1"/>
  <c r="I1138" i="1" a="1"/>
  <c r="I1138" i="1" s="1"/>
  <c r="F1136" i="1" a="1"/>
  <c r="F1136" i="1" s="1"/>
  <c r="H1138" i="1" a="1"/>
  <c r="H1138" i="1" s="1"/>
  <c r="F1138" i="1" a="1"/>
  <c r="F1138" i="1" s="1"/>
  <c r="K1137" i="1" a="1"/>
  <c r="K1137" i="1" s="1"/>
  <c r="J1137" i="1" a="1"/>
  <c r="J1137" i="1" s="1"/>
  <c r="F1137" i="1" a="1"/>
  <c r="F1137" i="1" s="1"/>
  <c r="I1136" i="1" a="1"/>
  <c r="I1136" i="1" s="1"/>
  <c r="F1140" i="1" a="1"/>
  <c r="F1140" i="1" s="1"/>
  <c r="J1139" i="1" a="1"/>
  <c r="J1139" i="1" s="1"/>
  <c r="I1139" i="1" a="1"/>
  <c r="I1139" i="1" s="1"/>
  <c r="K1080" i="1"/>
  <c r="J1080" i="1"/>
  <c r="I1080" i="1"/>
  <c r="H1080" i="1"/>
  <c r="G1080" i="1"/>
  <c r="F1080" i="1"/>
  <c r="K1079" i="1"/>
  <c r="K1105" i="1" s="1"/>
  <c r="J1079" i="1"/>
  <c r="J1105" i="1" s="1"/>
  <c r="I1079" i="1"/>
  <c r="I1105" i="1" s="1"/>
  <c r="H1079" i="1"/>
  <c r="H1105" i="1" s="1"/>
  <c r="G1079" i="1"/>
  <c r="G1105" i="1" s="1"/>
  <c r="F1079" i="1"/>
  <c r="F1105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K1072" i="1"/>
  <c r="K1098" i="1" s="1"/>
  <c r="J1072" i="1"/>
  <c r="J1098" i="1" s="1"/>
  <c r="I1072" i="1"/>
  <c r="I1098" i="1" s="1"/>
  <c r="H1072" i="1"/>
  <c r="H1098" i="1" s="1"/>
  <c r="G1072" i="1"/>
  <c r="G1098" i="1" s="1"/>
  <c r="F1072" i="1"/>
  <c r="F1098" i="1" s="1"/>
  <c r="K1066" i="1"/>
  <c r="K1092" i="1" s="1"/>
  <c r="J1066" i="1"/>
  <c r="J1092" i="1" s="1"/>
  <c r="I1066" i="1"/>
  <c r="I1092" i="1" s="1"/>
  <c r="H1066" i="1"/>
  <c r="H1092" i="1" s="1"/>
  <c r="G1066" i="1"/>
  <c r="G1092" i="1" s="1"/>
  <c r="F1066" i="1"/>
  <c r="F1092" i="1" s="1"/>
  <c r="K1065" i="1"/>
  <c r="J1065" i="1"/>
  <c r="I1065" i="1"/>
  <c r="H1065" i="1"/>
  <c r="G1065" i="1"/>
  <c r="F1065" i="1"/>
  <c r="K1064" i="1"/>
  <c r="J1064" i="1"/>
  <c r="I1064" i="1"/>
  <c r="H1064" i="1"/>
  <c r="G1064" i="1"/>
  <c r="F1064" i="1"/>
  <c r="K1062" i="1"/>
  <c r="K1088" i="1" s="1"/>
  <c r="J1062" i="1"/>
  <c r="J1088" i="1" s="1"/>
  <c r="I1062" i="1"/>
  <c r="I1088" i="1" s="1"/>
  <c r="H1062" i="1"/>
  <c r="H1088" i="1" s="1"/>
  <c r="G1062" i="1"/>
  <c r="G1088" i="1" s="1"/>
  <c r="F1062" i="1"/>
  <c r="F1088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K1057" i="1"/>
  <c r="K1083" i="1" s="1"/>
  <c r="J1057" i="1"/>
  <c r="J1083" i="1" s="1"/>
  <c r="I1057" i="1"/>
  <c r="I1083" i="1" s="1"/>
  <c r="H1057" i="1"/>
  <c r="H1083" i="1" s="1"/>
  <c r="G1057" i="1"/>
  <c r="G1083" i="1" s="1"/>
  <c r="F1057" i="1"/>
  <c r="F1083" i="1" s="1"/>
  <c r="K1056" i="1"/>
  <c r="K1082" i="1" s="1"/>
  <c r="J1056" i="1"/>
  <c r="J1082" i="1" s="1"/>
  <c r="I1056" i="1"/>
  <c r="I1082" i="1" s="1"/>
  <c r="H1056" i="1"/>
  <c r="H1082" i="1" s="1"/>
  <c r="G1056" i="1"/>
  <c r="G1082" i="1" s="1"/>
  <c r="F1056" i="1"/>
  <c r="F1082" i="1" s="1"/>
  <c r="K1054" i="1"/>
  <c r="J1054" i="1"/>
  <c r="I1054" i="1"/>
  <c r="H1054" i="1"/>
  <c r="G1054" i="1"/>
  <c r="F1054" i="1"/>
  <c r="K1053" i="1"/>
  <c r="J1053" i="1"/>
  <c r="I1053" i="1"/>
  <c r="H1053" i="1"/>
  <c r="G1053" i="1"/>
  <c r="F1053" i="1"/>
  <c r="K1046" i="1"/>
  <c r="J1046" i="1"/>
  <c r="I1046" i="1"/>
  <c r="H1046" i="1"/>
  <c r="G1046" i="1"/>
  <c r="F1046" i="1"/>
  <c r="K1040" i="1"/>
  <c r="J1040" i="1"/>
  <c r="I1040" i="1"/>
  <c r="H1040" i="1"/>
  <c r="G1040" i="1"/>
  <c r="F1040" i="1"/>
  <c r="K1033" i="1"/>
  <c r="J1033" i="1"/>
  <c r="I1033" i="1"/>
  <c r="H1033" i="1"/>
  <c r="G1033" i="1"/>
  <c r="F1033" i="1"/>
  <c r="K1028" i="1"/>
  <c r="J1028" i="1"/>
  <c r="I1028" i="1"/>
  <c r="H1028" i="1"/>
  <c r="G1028" i="1"/>
  <c r="F1028" i="1"/>
  <c r="K1013" i="1"/>
  <c r="J1013" i="1"/>
  <c r="I1013" i="1"/>
  <c r="H1013" i="1"/>
  <c r="G1013" i="1"/>
  <c r="F1013" i="1"/>
  <c r="K994" i="1"/>
  <c r="J994" i="1"/>
  <c r="I994" i="1"/>
  <c r="H994" i="1"/>
  <c r="G994" i="1"/>
  <c r="F994" i="1"/>
  <c r="K993" i="1"/>
  <c r="J993" i="1"/>
  <c r="I993" i="1"/>
  <c r="H993" i="1"/>
  <c r="G993" i="1"/>
  <c r="F993" i="1"/>
  <c r="K981" i="1"/>
  <c r="J981" i="1"/>
  <c r="I981" i="1"/>
  <c r="H981" i="1"/>
  <c r="G981" i="1"/>
  <c r="F981" i="1"/>
  <c r="K980" i="1"/>
  <c r="J980" i="1"/>
  <c r="I980" i="1"/>
  <c r="H980" i="1"/>
  <c r="G980" i="1"/>
  <c r="F980" i="1"/>
  <c r="K979" i="1"/>
  <c r="J979" i="1"/>
  <c r="I979" i="1"/>
  <c r="H979" i="1"/>
  <c r="G979" i="1"/>
  <c r="F979" i="1"/>
  <c r="K978" i="1"/>
  <c r="J978" i="1"/>
  <c r="I978" i="1"/>
  <c r="H978" i="1"/>
  <c r="G978" i="1"/>
  <c r="F978" i="1"/>
  <c r="K971" i="1"/>
  <c r="J971" i="1"/>
  <c r="I971" i="1"/>
  <c r="H971" i="1"/>
  <c r="G971" i="1"/>
  <c r="F971" i="1"/>
  <c r="K970" i="1"/>
  <c r="J970" i="1"/>
  <c r="I970" i="1"/>
  <c r="H970" i="1"/>
  <c r="G970" i="1"/>
  <c r="F970" i="1"/>
  <c r="K951" i="1"/>
  <c r="J951" i="1"/>
  <c r="I951" i="1"/>
  <c r="H951" i="1"/>
  <c r="G951" i="1"/>
  <c r="F951" i="1"/>
  <c r="K950" i="1"/>
  <c r="J950" i="1"/>
  <c r="I950" i="1"/>
  <c r="H950" i="1"/>
  <c r="G950" i="1"/>
  <c r="F950" i="1"/>
  <c r="K948" i="1"/>
  <c r="J948" i="1"/>
  <c r="I948" i="1"/>
  <c r="H948" i="1"/>
  <c r="G948" i="1"/>
  <c r="F948" i="1"/>
  <c r="K946" i="1"/>
  <c r="J946" i="1"/>
  <c r="I946" i="1"/>
  <c r="H946" i="1"/>
  <c r="G946" i="1"/>
  <c r="F946" i="1"/>
  <c r="K944" i="1"/>
  <c r="J944" i="1"/>
  <c r="I944" i="1"/>
  <c r="H944" i="1"/>
  <c r="G944" i="1"/>
  <c r="F944" i="1"/>
  <c r="K942" i="1"/>
  <c r="J942" i="1"/>
  <c r="I942" i="1"/>
  <c r="H942" i="1"/>
  <c r="G942" i="1"/>
  <c r="F942" i="1"/>
  <c r="K936" i="1"/>
  <c r="J936" i="1"/>
  <c r="I936" i="1"/>
  <c r="H936" i="1"/>
  <c r="G936" i="1"/>
  <c r="F936" i="1"/>
  <c r="K934" i="1"/>
  <c r="J934" i="1"/>
  <c r="I934" i="1"/>
  <c r="H934" i="1"/>
  <c r="G934" i="1"/>
  <c r="F934" i="1"/>
  <c r="K933" i="1"/>
  <c r="J933" i="1"/>
  <c r="I933" i="1"/>
  <c r="H933" i="1"/>
  <c r="G933" i="1"/>
  <c r="F933" i="1"/>
  <c r="K932" i="1"/>
  <c r="J932" i="1"/>
  <c r="I932" i="1"/>
  <c r="H932" i="1"/>
  <c r="G932" i="1"/>
  <c r="F932" i="1"/>
  <c r="K930" i="1"/>
  <c r="J930" i="1"/>
  <c r="I930" i="1"/>
  <c r="H930" i="1"/>
  <c r="G930" i="1"/>
  <c r="F930" i="1"/>
  <c r="K928" i="1"/>
  <c r="J928" i="1"/>
  <c r="I928" i="1"/>
  <c r="H928" i="1"/>
  <c r="G928" i="1"/>
  <c r="F928" i="1"/>
  <c r="K927" i="1"/>
  <c r="J927" i="1"/>
  <c r="I927" i="1"/>
  <c r="H927" i="1"/>
  <c r="G927" i="1"/>
  <c r="F927" i="1"/>
  <c r="K924" i="1"/>
  <c r="J924" i="1"/>
  <c r="I924" i="1"/>
  <c r="H924" i="1"/>
  <c r="G924" i="1"/>
  <c r="F924" i="1"/>
  <c r="K920" i="1"/>
  <c r="J920" i="1"/>
  <c r="I920" i="1"/>
  <c r="H920" i="1"/>
  <c r="G920" i="1"/>
  <c r="F920" i="1"/>
  <c r="K917" i="1"/>
  <c r="J917" i="1"/>
  <c r="I917" i="1"/>
  <c r="H917" i="1"/>
  <c r="G917" i="1"/>
  <c r="F917" i="1"/>
  <c r="K916" i="1"/>
  <c r="J916" i="1"/>
  <c r="I916" i="1"/>
  <c r="H916" i="1"/>
  <c r="G916" i="1"/>
  <c r="F916" i="1"/>
  <c r="K904" i="1"/>
  <c r="J904" i="1"/>
  <c r="I904" i="1"/>
  <c r="H904" i="1"/>
  <c r="G904" i="1"/>
  <c r="F904" i="1"/>
  <c r="K903" i="1"/>
  <c r="J903" i="1"/>
  <c r="I903" i="1"/>
  <c r="H903" i="1"/>
  <c r="G903" i="1"/>
  <c r="F903" i="1"/>
  <c r="K902" i="1"/>
  <c r="K899" i="1" s="1"/>
  <c r="J902" i="1"/>
  <c r="J899" i="1" s="1"/>
  <c r="I902" i="1"/>
  <c r="I899" i="1" s="1"/>
  <c r="H902" i="1"/>
  <c r="G902" i="1"/>
  <c r="F902" i="1"/>
  <c r="F899" i="1" s="1"/>
  <c r="H899" i="1"/>
  <c r="G899" i="1"/>
  <c r="K896" i="1"/>
  <c r="J896" i="1"/>
  <c r="I896" i="1"/>
  <c r="H896" i="1"/>
  <c r="G896" i="1"/>
  <c r="F896" i="1"/>
  <c r="K895" i="1"/>
  <c r="J895" i="1"/>
  <c r="I895" i="1"/>
  <c r="H895" i="1"/>
  <c r="G895" i="1"/>
  <c r="F895" i="1"/>
  <c r="K893" i="1"/>
  <c r="J893" i="1"/>
  <c r="I893" i="1"/>
  <c r="H893" i="1"/>
  <c r="G893" i="1"/>
  <c r="K891" i="1"/>
  <c r="J891" i="1"/>
  <c r="I891" i="1"/>
  <c r="H891" i="1"/>
  <c r="G891" i="1"/>
  <c r="F891" i="1"/>
  <c r="K888" i="1"/>
  <c r="J888" i="1"/>
  <c r="I888" i="1"/>
  <c r="H888" i="1"/>
  <c r="G888" i="1"/>
  <c r="F888" i="1"/>
  <c r="K884" i="1"/>
  <c r="J884" i="1"/>
  <c r="I884" i="1"/>
  <c r="H884" i="1"/>
  <c r="G884" i="1"/>
  <c r="F884" i="1"/>
  <c r="K881" i="1"/>
  <c r="J881" i="1"/>
  <c r="I881" i="1"/>
  <c r="H881" i="1"/>
  <c r="G881" i="1"/>
  <c r="F881" i="1"/>
  <c r="F1891" i="1" a="1"/>
  <c r="F1891" i="1" s="1"/>
  <c r="J1889" i="1" a="1"/>
  <c r="J1889" i="1" s="1"/>
  <c r="J1895" i="1" a="1"/>
  <c r="J1895" i="1" s="1"/>
  <c r="I1893" i="1" a="1"/>
  <c r="I1893" i="1" s="1"/>
  <c r="G1893" i="1" a="1"/>
  <c r="G1893" i="1" s="1"/>
  <c r="I1891" i="1" a="1"/>
  <c r="I1891" i="1" s="1"/>
  <c r="J1893" i="1" a="1"/>
  <c r="J1893" i="1" s="1"/>
  <c r="K1897" i="1" a="1"/>
  <c r="K1897" i="1" s="1"/>
  <c r="F1893" i="1" a="1"/>
  <c r="F1893" i="1" s="1"/>
  <c r="J1897" i="1" a="1"/>
  <c r="J1897" i="1" s="1"/>
  <c r="K1889" i="1" a="1"/>
  <c r="K1889" i="1" s="1"/>
  <c r="I1895" i="1" a="1"/>
  <c r="I1895" i="1" s="1"/>
  <c r="H1897" i="1" a="1"/>
  <c r="H1897" i="1" s="1"/>
  <c r="G1891" i="1" a="1"/>
  <c r="G1891" i="1" s="1"/>
  <c r="F1897" i="1" a="1"/>
  <c r="F1897" i="1" s="1"/>
  <c r="H1891" i="1" a="1"/>
  <c r="H1891" i="1" s="1"/>
  <c r="H1895" i="1" a="1"/>
  <c r="H1895" i="1" s="1"/>
  <c r="K1895" i="1" a="1"/>
  <c r="K1895" i="1" s="1"/>
  <c r="K1893" i="1" a="1"/>
  <c r="K1893" i="1" s="1"/>
  <c r="G1897" i="1" a="1"/>
  <c r="G1897" i="1" s="1"/>
  <c r="G1895" i="1" a="1"/>
  <c r="G1895" i="1" s="1"/>
  <c r="F1895" i="1" a="1"/>
  <c r="F1895" i="1" s="1"/>
  <c r="J1891" i="1" a="1"/>
  <c r="J1891" i="1" s="1"/>
  <c r="I1897" i="1" a="1"/>
  <c r="I1897" i="1" s="1"/>
  <c r="K1891" i="1" a="1"/>
  <c r="K1891" i="1" s="1"/>
  <c r="H1893" i="1" a="1"/>
  <c r="H1893" i="1" s="1"/>
  <c r="G1889" i="1" a="1"/>
  <c r="G1889" i="1" s="1"/>
  <c r="J1875" i="1" a="1"/>
  <c r="J1875" i="1" s="1"/>
  <c r="K1888" i="1" a="1"/>
  <c r="K1888" i="1" s="1"/>
  <c r="J1888" i="1" a="1"/>
  <c r="J1888" i="1" s="1"/>
  <c r="K1885" i="1" a="1"/>
  <c r="K1885" i="1" s="1"/>
  <c r="G1888" i="1" a="1"/>
  <c r="G1888" i="1" s="1"/>
  <c r="J1887" i="1" a="1"/>
  <c r="J1887" i="1" s="1"/>
  <c r="F1877" i="1" a="1"/>
  <c r="F1877" i="1" s="1"/>
  <c r="G1887" i="1" a="1"/>
  <c r="G1887" i="1" s="1"/>
  <c r="G1879" i="1" a="1"/>
  <c r="G1879" i="1" s="1"/>
  <c r="I1888" i="1" a="1"/>
  <c r="I1888" i="1" s="1"/>
  <c r="H1888" i="1" a="1"/>
  <c r="H1888" i="1" s="1"/>
  <c r="F1888" i="1" a="1"/>
  <c r="F1888" i="1" s="1"/>
  <c r="H1887" i="1" a="1"/>
  <c r="H1887" i="1" s="1"/>
  <c r="I1887" i="1" a="1"/>
  <c r="I1887" i="1" s="1"/>
  <c r="H1877" i="1" a="1"/>
  <c r="H1877" i="1" s="1"/>
  <c r="F1887" i="1" a="1"/>
  <c r="F1887" i="1" s="1"/>
  <c r="J1883" i="1" a="1"/>
  <c r="J1883" i="1" s="1"/>
  <c r="I1882" i="1" a="1"/>
  <c r="I1882" i="1" s="1"/>
  <c r="F1879" i="1" a="1"/>
  <c r="F1879" i="1" s="1"/>
  <c r="G1877" i="1" a="1"/>
  <c r="G1877" i="1" s="1"/>
  <c r="J1877" i="1" a="1"/>
  <c r="J1877" i="1" s="1"/>
  <c r="K1875" i="1" a="1"/>
  <c r="K1875" i="1" s="1"/>
  <c r="H1883" i="1" a="1"/>
  <c r="H1883" i="1" s="1"/>
  <c r="J1879" i="1" a="1"/>
  <c r="J1879" i="1" s="1"/>
  <c r="I1885" i="1" a="1"/>
  <c r="I1885" i="1" s="1"/>
  <c r="J1885" i="1" a="1"/>
  <c r="J1885" i="1" s="1"/>
  <c r="H1885" i="1" a="1"/>
  <c r="H1885" i="1" s="1"/>
  <c r="G1885" i="1" a="1"/>
  <c r="G1885" i="1" s="1"/>
  <c r="K1882" i="1" a="1"/>
  <c r="K1882" i="1" s="1"/>
  <c r="F1885" i="1" a="1"/>
  <c r="F1885" i="1" s="1"/>
  <c r="K1883" i="1" a="1"/>
  <c r="K1883" i="1" s="1"/>
  <c r="H1879" i="1" a="1"/>
  <c r="H1879" i="1" s="1"/>
  <c r="F1883" i="1" a="1"/>
  <c r="F1883" i="1" s="1"/>
  <c r="F1882" i="1" a="1"/>
  <c r="F1882" i="1" s="1"/>
  <c r="G1882" i="1" a="1"/>
  <c r="G1882" i="1" s="1"/>
  <c r="I1883" i="1" a="1"/>
  <c r="I1883" i="1" s="1"/>
  <c r="H1882" i="1" a="1"/>
  <c r="H1882" i="1" s="1"/>
  <c r="K1879" i="1" a="1"/>
  <c r="K1879" i="1" s="1"/>
  <c r="I1879" i="1" a="1"/>
  <c r="I1879" i="1" s="1"/>
  <c r="I1877" i="1" a="1"/>
  <c r="I1877" i="1" s="1"/>
  <c r="K1877" i="1" a="1"/>
  <c r="K1877" i="1" s="1"/>
  <c r="F1889" i="1" a="1"/>
  <c r="F1889" i="1" s="1"/>
  <c r="K1887" i="1" a="1"/>
  <c r="K1887" i="1" s="1"/>
  <c r="J1882" i="1" a="1"/>
  <c r="J1882" i="1" s="1"/>
  <c r="G1883" i="1" a="1"/>
  <c r="G1883" i="1" s="1"/>
  <c r="I1889" i="1" a="1"/>
  <c r="I1889" i="1" s="1"/>
  <c r="H1889" i="1" a="1"/>
  <c r="H1889" i="1" s="1"/>
  <c r="H1863" i="1" a="1"/>
  <c r="H1863" i="1" s="1"/>
  <c r="H1860" i="1" a="1"/>
  <c r="H1860" i="1" s="1"/>
  <c r="I1866" i="1" a="1"/>
  <c r="I1866" i="1" s="1"/>
  <c r="J1866" i="1" a="1"/>
  <c r="J1866" i="1" s="1"/>
  <c r="F1863" i="1" a="1"/>
  <c r="F1863" i="1" s="1"/>
  <c r="G1869" i="1" a="1"/>
  <c r="G1869" i="1" s="1"/>
  <c r="K1865" i="1" a="1"/>
  <c r="K1865" i="1" s="1"/>
  <c r="F1869" i="1" a="1"/>
  <c r="F1869" i="1" s="1"/>
  <c r="K1873" i="1" a="1"/>
  <c r="K1873" i="1" s="1"/>
  <c r="H1867" i="1" a="1"/>
  <c r="H1867" i="1" s="1"/>
  <c r="J1873" i="1" a="1"/>
  <c r="J1873" i="1" s="1"/>
  <c r="I1865" i="1" a="1"/>
  <c r="I1865" i="1" s="1"/>
  <c r="I1873" i="1" a="1"/>
  <c r="I1873" i="1" s="1"/>
  <c r="I1860" i="1" a="1"/>
  <c r="I1860" i="1" s="1"/>
  <c r="J1860" i="1" a="1"/>
  <c r="J1860" i="1" s="1"/>
  <c r="F1865" i="1" a="1"/>
  <c r="F1865" i="1" s="1"/>
  <c r="G1871" i="1" a="1"/>
  <c r="G1871" i="1" s="1"/>
  <c r="H1869" i="1" a="1"/>
  <c r="H1869" i="1" s="1"/>
  <c r="H1865" i="1" a="1"/>
  <c r="H1865" i="1" s="1"/>
  <c r="F1866" i="1" a="1"/>
  <c r="F1866" i="1" s="1"/>
  <c r="H1862" i="1" a="1"/>
  <c r="H1862" i="1" s="1"/>
  <c r="K1860" i="1" a="1"/>
  <c r="K1860" i="1" s="1"/>
  <c r="G1863" i="1" a="1"/>
  <c r="G1863" i="1" s="1"/>
  <c r="G1862" i="1" a="1"/>
  <c r="G1862" i="1" s="1"/>
  <c r="F1862" i="1" a="1"/>
  <c r="F1862" i="1" s="1"/>
  <c r="I1875" i="1" a="1"/>
  <c r="I1875" i="1" s="1"/>
  <c r="H1873" i="1" a="1"/>
  <c r="H1873" i="1" s="1"/>
  <c r="G1873" i="1" a="1"/>
  <c r="G1873" i="1" s="1"/>
  <c r="J1865" i="1" a="1"/>
  <c r="J1865" i="1" s="1"/>
  <c r="I1863" i="1" a="1"/>
  <c r="I1863" i="1" s="1"/>
  <c r="K1863" i="1" a="1"/>
  <c r="K1863" i="1" s="1"/>
  <c r="I1871" i="1" a="1"/>
  <c r="I1871" i="1" s="1"/>
  <c r="J1863" i="1" a="1"/>
  <c r="J1863" i="1" s="1"/>
  <c r="F1871" i="1" a="1"/>
  <c r="F1871" i="1" s="1"/>
  <c r="I1862" i="1" a="1"/>
  <c r="I1862" i="1" s="1"/>
  <c r="K1869" i="1" a="1"/>
  <c r="K1869" i="1" s="1"/>
  <c r="F1867" i="1" a="1"/>
  <c r="F1867" i="1" s="1"/>
  <c r="J1867" i="1" a="1"/>
  <c r="J1867" i="1" s="1"/>
  <c r="J1862" i="1" a="1"/>
  <c r="J1862" i="1" s="1"/>
  <c r="K1866" i="1" a="1"/>
  <c r="K1866" i="1" s="1"/>
  <c r="G1865" i="1" a="1"/>
  <c r="G1865" i="1" s="1"/>
  <c r="K1867" i="1" a="1"/>
  <c r="K1867" i="1" s="1"/>
  <c r="H1866" i="1" a="1"/>
  <c r="H1866" i="1" s="1"/>
  <c r="H1875" i="1" a="1"/>
  <c r="H1875" i="1" s="1"/>
  <c r="I1867" i="1" a="1"/>
  <c r="I1867" i="1" s="1"/>
  <c r="G1866" i="1" a="1"/>
  <c r="G1866" i="1" s="1"/>
  <c r="K1871" i="1" a="1"/>
  <c r="K1871" i="1" s="1"/>
  <c r="K1862" i="1" a="1"/>
  <c r="K1862" i="1" s="1"/>
  <c r="G1867" i="1" a="1"/>
  <c r="G1867" i="1" s="1"/>
  <c r="G1875" i="1" a="1"/>
  <c r="G1875" i="1" s="1"/>
  <c r="F1875" i="1" a="1"/>
  <c r="F1875" i="1" s="1"/>
  <c r="I1869" i="1" a="1"/>
  <c r="I1869" i="1" s="1"/>
  <c r="H1871" i="1" a="1"/>
  <c r="H1871" i="1" s="1"/>
  <c r="F1873" i="1" a="1"/>
  <c r="F1873" i="1" s="1"/>
  <c r="J1871" i="1" a="1"/>
  <c r="J1871" i="1" s="1"/>
  <c r="J1869" i="1" a="1"/>
  <c r="J1869" i="1" s="1"/>
  <c r="F1850" i="1" a="1"/>
  <c r="F1850" i="1" s="1"/>
  <c r="J1852" i="1" a="1"/>
  <c r="J1852" i="1" s="1"/>
  <c r="G1850" i="1" a="1"/>
  <c r="G1850" i="1" s="1"/>
  <c r="G1852" i="1" a="1"/>
  <c r="G1852" i="1" s="1"/>
  <c r="G1860" i="1" a="1"/>
  <c r="G1860" i="1" s="1"/>
  <c r="F1852" i="1" a="1"/>
  <c r="F1852" i="1" s="1"/>
  <c r="F1860" i="1" a="1"/>
  <c r="F1860" i="1" s="1"/>
  <c r="K1859" i="1" a="1"/>
  <c r="K1859" i="1" s="1"/>
  <c r="J1859" i="1" a="1"/>
  <c r="J1859" i="1" s="1"/>
  <c r="I1859" i="1" a="1"/>
  <c r="I1859" i="1" s="1"/>
  <c r="J1850" i="1" a="1"/>
  <c r="J1850" i="1" s="1"/>
  <c r="F1854" i="1" a="1"/>
  <c r="F1854" i="1" s="1"/>
  <c r="H1859" i="1" a="1"/>
  <c r="H1859" i="1" s="1"/>
  <c r="G1856" i="1" a="1"/>
  <c r="G1856" i="1" s="1"/>
  <c r="F1856" i="1" a="1"/>
  <c r="F1856" i="1" s="1"/>
  <c r="H1852" i="1" a="1"/>
  <c r="H1852" i="1" s="1"/>
  <c r="F1859" i="1" a="1"/>
  <c r="F1859" i="1" s="1"/>
  <c r="J1856" i="1" a="1"/>
  <c r="J1856" i="1" s="1"/>
  <c r="I1856" i="1" a="1"/>
  <c r="I1856" i="1" s="1"/>
  <c r="H1856" i="1" a="1"/>
  <c r="H1856" i="1" s="1"/>
  <c r="H1854" i="1" a="1"/>
  <c r="H1854" i="1" s="1"/>
  <c r="K1852" i="1" a="1"/>
  <c r="K1852" i="1" s="1"/>
  <c r="K1854" i="1" a="1"/>
  <c r="K1854" i="1" s="1"/>
  <c r="H1850" i="1" a="1"/>
  <c r="H1850" i="1" s="1"/>
  <c r="I1850" i="1" a="1"/>
  <c r="I1850" i="1" s="1"/>
  <c r="J1854" i="1" a="1"/>
  <c r="J1854" i="1" s="1"/>
  <c r="K1848" i="1" a="1"/>
  <c r="K1848" i="1" s="1"/>
  <c r="G1859" i="1" a="1"/>
  <c r="G1859" i="1" s="1"/>
  <c r="G1854" i="1" a="1"/>
  <c r="G1854" i="1" s="1"/>
  <c r="I1852" i="1" a="1"/>
  <c r="I1852" i="1" s="1"/>
  <c r="K1850" i="1" a="1"/>
  <c r="K1850" i="1" s="1"/>
  <c r="K1856" i="1" a="1"/>
  <c r="K1856" i="1" s="1"/>
  <c r="I1854" i="1" a="1"/>
  <c r="I1854" i="1" s="1"/>
  <c r="K1840" i="1" a="1"/>
  <c r="K1840" i="1" s="1"/>
  <c r="K1845" i="1" a="1"/>
  <c r="K1845" i="1" s="1"/>
  <c r="K1841" i="1" a="1"/>
  <c r="K1841" i="1" s="1"/>
  <c r="G1840" i="1" a="1"/>
  <c r="G1840" i="1" s="1"/>
  <c r="I1848" i="1" a="1"/>
  <c r="I1848" i="1" s="1"/>
  <c r="H1848" i="1" a="1"/>
  <c r="H1848" i="1" s="1"/>
  <c r="G1848" i="1" a="1"/>
  <c r="G1848" i="1" s="1"/>
  <c r="G1841" i="1" a="1"/>
  <c r="G1841" i="1" s="1"/>
  <c r="F1848" i="1" a="1"/>
  <c r="F1848" i="1" s="1"/>
  <c r="K1846" i="1" a="1"/>
  <c r="K1846" i="1" s="1"/>
  <c r="H1846" i="1" a="1"/>
  <c r="H1846" i="1" s="1"/>
  <c r="H1845" i="1" a="1"/>
  <c r="H1845" i="1" s="1"/>
  <c r="J1845" i="1" a="1"/>
  <c r="J1845" i="1" s="1"/>
  <c r="I1841" i="1" a="1"/>
  <c r="I1841" i="1" s="1"/>
  <c r="H1840" i="1" a="1"/>
  <c r="H1840" i="1" s="1"/>
  <c r="F1845" i="1" a="1"/>
  <c r="F1845" i="1" s="1"/>
  <c r="F1841" i="1" a="1"/>
  <c r="F1841" i="1" s="1"/>
  <c r="F1846" i="1" a="1"/>
  <c r="F1846" i="1" s="1"/>
  <c r="H1841" i="1" a="1"/>
  <c r="H1841" i="1" s="1"/>
  <c r="J1846" i="1" a="1"/>
  <c r="J1846" i="1" s="1"/>
  <c r="I1845" i="1" a="1"/>
  <c r="I1845" i="1" s="1"/>
  <c r="G1846" i="1" a="1"/>
  <c r="G1846" i="1" s="1"/>
  <c r="G1843" i="1" a="1"/>
  <c r="G1843" i="1" s="1"/>
  <c r="G1845" i="1" a="1"/>
  <c r="G1845" i="1" s="1"/>
  <c r="K1843" i="1" a="1"/>
  <c r="K1843" i="1" s="1"/>
  <c r="F1840" i="1" a="1"/>
  <c r="F1840" i="1" s="1"/>
  <c r="J1843" i="1" a="1"/>
  <c r="J1843" i="1" s="1"/>
  <c r="I1843" i="1" a="1"/>
  <c r="I1843" i="1" s="1"/>
  <c r="J1840" i="1" a="1"/>
  <c r="J1840" i="1" s="1"/>
  <c r="I1840" i="1" a="1"/>
  <c r="I1840" i="1" s="1"/>
  <c r="J1848" i="1" a="1"/>
  <c r="J1848" i="1" s="1"/>
  <c r="I1846" i="1" a="1"/>
  <c r="I1846" i="1" s="1"/>
  <c r="F1843" i="1" a="1"/>
  <c r="F1843" i="1" s="1"/>
  <c r="H1843" i="1" a="1"/>
  <c r="H1843" i="1" s="1"/>
  <c r="J1841" i="1" a="1"/>
  <c r="J1841" i="1" s="1"/>
  <c r="K1827" i="1" a="1"/>
  <c r="K1827" i="1" s="1"/>
  <c r="K1837" i="1" a="1"/>
  <c r="K1837" i="1" s="1"/>
  <c r="F1837" i="1" a="1"/>
  <c r="F1837" i="1" s="1"/>
  <c r="I1831" i="1" a="1"/>
  <c r="I1831" i="1" s="1"/>
  <c r="I1833" i="1" a="1"/>
  <c r="I1833" i="1" s="1"/>
  <c r="G1829" i="1" a="1"/>
  <c r="G1829" i="1" s="1"/>
  <c r="F1827" i="1" a="1"/>
  <c r="F1827" i="1" s="1"/>
  <c r="G1826" i="1" a="1"/>
  <c r="G1826" i="1" s="1"/>
  <c r="G1831" i="1" a="1"/>
  <c r="G1831" i="1" s="1"/>
  <c r="H1835" i="1" a="1"/>
  <c r="H1835" i="1" s="1"/>
  <c r="H1829" i="1" a="1"/>
  <c r="H1829" i="1" s="1"/>
  <c r="I1827" i="1" a="1"/>
  <c r="I1827" i="1" s="1"/>
  <c r="G1835" i="1" a="1"/>
  <c r="G1835" i="1" s="1"/>
  <c r="H1826" i="1" a="1"/>
  <c r="H1826" i="1" s="1"/>
  <c r="H1827" i="1" a="1"/>
  <c r="H1827" i="1" s="1"/>
  <c r="J1837" i="1" a="1"/>
  <c r="J1837" i="1" s="1"/>
  <c r="I1829" i="1" a="1"/>
  <c r="I1829" i="1" s="1"/>
  <c r="F1835" i="1" a="1"/>
  <c r="F1835" i="1" s="1"/>
  <c r="H1833" i="1" a="1"/>
  <c r="H1833" i="1" s="1"/>
  <c r="J1831" i="1" a="1"/>
  <c r="J1831" i="1" s="1"/>
  <c r="G1827" i="1" a="1"/>
  <c r="G1827" i="1" s="1"/>
  <c r="J1826" i="1" a="1"/>
  <c r="J1826" i="1" s="1"/>
  <c r="H1837" i="1" a="1"/>
  <c r="H1837" i="1" s="1"/>
  <c r="G1837" i="1" a="1"/>
  <c r="G1837" i="1" s="1"/>
  <c r="K1835" i="1" a="1"/>
  <c r="K1835" i="1" s="1"/>
  <c r="G1833" i="1" a="1"/>
  <c r="G1833" i="1" s="1"/>
  <c r="J1835" i="1" a="1"/>
  <c r="J1835" i="1" s="1"/>
  <c r="K1831" i="1" a="1"/>
  <c r="K1831" i="1" s="1"/>
  <c r="J1833" i="1" a="1"/>
  <c r="J1833" i="1" s="1"/>
  <c r="F1833" i="1" a="1"/>
  <c r="F1833" i="1" s="1"/>
  <c r="F1826" i="1" a="1"/>
  <c r="F1826" i="1" s="1"/>
  <c r="F1831" i="1" a="1"/>
  <c r="F1831" i="1" s="1"/>
  <c r="J1829" i="1" a="1"/>
  <c r="J1829" i="1" s="1"/>
  <c r="F1829" i="1" a="1"/>
  <c r="F1829" i="1" s="1"/>
  <c r="I1835" i="1" a="1"/>
  <c r="I1835" i="1" s="1"/>
  <c r="K1833" i="1" a="1"/>
  <c r="K1833" i="1" s="1"/>
  <c r="K1829" i="1" a="1"/>
  <c r="K1829" i="1" s="1"/>
  <c r="J1827" i="1" a="1"/>
  <c r="J1827" i="1" s="1"/>
  <c r="I1826" i="1" a="1"/>
  <c r="I1826" i="1" s="1"/>
  <c r="K1826" i="1" a="1"/>
  <c r="K1826" i="1" s="1"/>
  <c r="I1837" i="1" a="1"/>
  <c r="I1837" i="1" s="1"/>
  <c r="H1831" i="1" a="1"/>
  <c r="H1831" i="1" s="1"/>
  <c r="I1822" i="1" a="1"/>
  <c r="I1822" i="1" s="1"/>
  <c r="H1822" i="1" a="1"/>
  <c r="H1822" i="1" s="1"/>
  <c r="G1821" i="1" a="1"/>
  <c r="G1821" i="1" s="1"/>
  <c r="G1822" i="1" a="1"/>
  <c r="G1822" i="1" s="1"/>
  <c r="F1822" i="1" a="1"/>
  <c r="F1822" i="1" s="1"/>
  <c r="J1821" i="1" a="1"/>
  <c r="J1821" i="1" s="1"/>
  <c r="I1821" i="1" a="1"/>
  <c r="I1821" i="1" s="1"/>
  <c r="H1821" i="1" a="1"/>
  <c r="H1821" i="1" s="1"/>
  <c r="K1821" i="1" a="1"/>
  <c r="K1821" i="1" s="1"/>
  <c r="K1824" i="1" a="1"/>
  <c r="K1824" i="1" s="1"/>
  <c r="J1824" i="1" a="1"/>
  <c r="J1824" i="1" s="1"/>
  <c r="I1824" i="1" a="1"/>
  <c r="I1824" i="1" s="1"/>
  <c r="H1824" i="1" a="1"/>
  <c r="H1824" i="1" s="1"/>
  <c r="G1824" i="1" a="1"/>
  <c r="G1824" i="1" s="1"/>
  <c r="F1821" i="1" a="1"/>
  <c r="F1821" i="1" s="1"/>
  <c r="F1824" i="1" a="1"/>
  <c r="F1824" i="1" s="1"/>
  <c r="K1822" i="1" a="1"/>
  <c r="K1822" i="1" s="1"/>
  <c r="J1822" i="1" a="1"/>
  <c r="J1822" i="1" s="1"/>
  <c r="F1039" i="1" a="1"/>
  <c r="F1039" i="1" s="1"/>
  <c r="I1037" i="1" a="1"/>
  <c r="I1037" i="1" s="1"/>
  <c r="J1039" i="1" a="1"/>
  <c r="J1039" i="1" s="1"/>
  <c r="I1030" i="1" a="1"/>
  <c r="I1030" i="1" s="1"/>
  <c r="K1030" i="1" a="1"/>
  <c r="K1030" i="1" s="1"/>
  <c r="J1037" i="1" a="1"/>
  <c r="J1037" i="1" s="1"/>
  <c r="H1037" i="1" a="1"/>
  <c r="H1037" i="1" s="1"/>
  <c r="F1037" i="1" a="1"/>
  <c r="F1037" i="1" s="1"/>
  <c r="K1039" i="1" a="1"/>
  <c r="K1039" i="1" s="1"/>
  <c r="K1037" i="1" a="1"/>
  <c r="K1037" i="1" s="1"/>
  <c r="J1030" i="1" a="1"/>
  <c r="J1030" i="1" s="1"/>
  <c r="I1039" i="1" a="1"/>
  <c r="I1039" i="1" s="1"/>
  <c r="H1039" i="1" a="1"/>
  <c r="H1039" i="1" s="1"/>
  <c r="G1039" i="1" a="1"/>
  <c r="G1039" i="1" s="1"/>
  <c r="G1037" i="1" a="1"/>
  <c r="G1037" i="1" s="1"/>
  <c r="H883" i="1" a="1"/>
  <c r="H883" i="1" s="1"/>
  <c r="J883" i="1" a="1"/>
  <c r="J883" i="1" s="1"/>
  <c r="I883" i="1" a="1"/>
  <c r="I883" i="1" s="1"/>
  <c r="G883" i="1" a="1"/>
  <c r="G883" i="1" s="1"/>
  <c r="F882" i="1" a="1"/>
  <c r="F882" i="1" s="1"/>
  <c r="F883" i="1" a="1"/>
  <c r="F883" i="1" s="1"/>
  <c r="K882" i="1" a="1"/>
  <c r="K882" i="1" s="1"/>
  <c r="J882" i="1" a="1"/>
  <c r="J882" i="1" s="1"/>
  <c r="H882" i="1" a="1"/>
  <c r="H882" i="1" s="1"/>
  <c r="G882" i="1" a="1"/>
  <c r="G882" i="1" s="1"/>
  <c r="I882" i="1" a="1"/>
  <c r="I882" i="1" s="1"/>
  <c r="J802" i="1" a="1"/>
  <c r="J802" i="1" s="1"/>
  <c r="J800" i="1" a="1"/>
  <c r="J800" i="1" s="1"/>
  <c r="I800" i="1" a="1"/>
  <c r="I800" i="1" s="1"/>
  <c r="H800" i="1" a="1"/>
  <c r="H800" i="1" s="1"/>
  <c r="G800" i="1" a="1"/>
  <c r="G800" i="1" s="1"/>
  <c r="H778" i="1" a="1"/>
  <c r="H778" i="1" s="1"/>
  <c r="H777" i="1" s="1"/>
  <c r="J804" i="1" a="1"/>
  <c r="J804" i="1" s="1"/>
  <c r="G804" i="1" a="1"/>
  <c r="G804" i="1" s="1"/>
  <c r="F804" i="1" a="1"/>
  <c r="F804" i="1" s="1"/>
  <c r="K800" i="1" a="1"/>
  <c r="K800" i="1" s="1"/>
  <c r="H804" i="1" a="1"/>
  <c r="H804" i="1" s="1"/>
  <c r="G802" i="1" a="1"/>
  <c r="G802" i="1" s="1"/>
  <c r="F778" i="1" a="1"/>
  <c r="F778" i="1" s="1"/>
  <c r="F777" i="1" s="1"/>
  <c r="K802" i="1" a="1"/>
  <c r="K802" i="1" s="1"/>
  <c r="F800" i="1" a="1"/>
  <c r="F800" i="1" s="1"/>
  <c r="I802" i="1" a="1"/>
  <c r="I802" i="1" s="1"/>
  <c r="K778" i="1" a="1"/>
  <c r="K778" i="1" s="1"/>
  <c r="K777" i="1" s="1"/>
  <c r="K784" i="1" s="1"/>
  <c r="K785" i="1" s="1"/>
  <c r="G778" i="1" a="1"/>
  <c r="G778" i="1" s="1"/>
  <c r="G777" i="1" s="1"/>
  <c r="G784" i="1" s="1"/>
  <c r="G785" i="1" s="1"/>
  <c r="I778" i="1" a="1"/>
  <c r="I778" i="1" s="1"/>
  <c r="I777" i="1" s="1"/>
  <c r="I784" i="1" s="1"/>
  <c r="I785" i="1" s="1"/>
  <c r="K804" i="1" a="1"/>
  <c r="K804" i="1" s="1"/>
  <c r="I804" i="1" a="1"/>
  <c r="I804" i="1" s="1"/>
  <c r="J778" i="1" a="1"/>
  <c r="J778" i="1" s="1"/>
  <c r="J777" i="1" s="1"/>
  <c r="F802" i="1" a="1"/>
  <c r="F802" i="1" s="1"/>
  <c r="H802" i="1" a="1"/>
  <c r="H802" i="1" s="1"/>
  <c r="H764" i="1" a="1"/>
  <c r="H764" i="1" s="1"/>
  <c r="H814" i="1" s="1" a="1"/>
  <c r="H814" i="1" s="1"/>
  <c r="G764" i="1" a="1"/>
  <c r="G764" i="1" s="1"/>
  <c r="G814" i="1" s="1" a="1"/>
  <c r="G814" i="1" s="1"/>
  <c r="F764" i="1" a="1"/>
  <c r="F764" i="1" s="1"/>
  <c r="F814" i="1" s="1" a="1"/>
  <c r="F814" i="1" s="1"/>
  <c r="J764" i="1" a="1"/>
  <c r="J764" i="1" s="1"/>
  <c r="J814" i="1" s="1" a="1"/>
  <c r="J814" i="1" s="1"/>
  <c r="K764" i="1" a="1"/>
  <c r="K764" i="1" s="1"/>
  <c r="K814" i="1" s="1" a="1"/>
  <c r="K814" i="1" s="1"/>
  <c r="I764" i="1" a="1"/>
  <c r="I764" i="1" s="1"/>
  <c r="I814" i="1" s="1" a="1"/>
  <c r="I814" i="1" s="1"/>
  <c r="K926" i="1" a="1"/>
  <c r="K926" i="1" s="1"/>
  <c r="G926" i="1" a="1"/>
  <c r="G926" i="1" s="1"/>
  <c r="I912" i="1" a="1"/>
  <c r="I912" i="1" s="1"/>
  <c r="K914" i="1" a="1"/>
  <c r="K914" i="1" s="1"/>
  <c r="F926" i="1" a="1"/>
  <c r="F926" i="1" s="1"/>
  <c r="F912" i="1" a="1"/>
  <c r="F912" i="1" s="1"/>
  <c r="J914" i="1" a="1"/>
  <c r="J914" i="1" s="1"/>
  <c r="F914" i="1" a="1"/>
  <c r="F914" i="1" s="1"/>
  <c r="K912" i="1" a="1"/>
  <c r="K912" i="1" s="1"/>
  <c r="F894" i="1" a="1"/>
  <c r="F894" i="1" s="1"/>
  <c r="F923" i="1" s="1"/>
  <c r="F922" i="1" s="1"/>
  <c r="J912" i="1" a="1"/>
  <c r="J912" i="1" s="1"/>
  <c r="I894" i="1" a="1"/>
  <c r="I894" i="1" s="1"/>
  <c r="G914" i="1" a="1"/>
  <c r="G914" i="1" s="1"/>
  <c r="H926" i="1" a="1"/>
  <c r="H926" i="1" s="1"/>
  <c r="I914" i="1" a="1"/>
  <c r="I914" i="1" s="1"/>
  <c r="H912" i="1" a="1"/>
  <c r="H912" i="1" s="1"/>
  <c r="I926" i="1" a="1"/>
  <c r="I926" i="1" s="1"/>
  <c r="H914" i="1" a="1"/>
  <c r="H914" i="1" s="1"/>
  <c r="K883" i="1" a="1"/>
  <c r="K883" i="1" s="1"/>
  <c r="G894" i="1" a="1"/>
  <c r="G894" i="1" s="1"/>
  <c r="J894" i="1" a="1"/>
  <c r="J894" i="1" s="1"/>
  <c r="J923" i="1" s="1"/>
  <c r="J922" i="1" s="1"/>
  <c r="J926" i="1" a="1"/>
  <c r="J926" i="1" s="1"/>
  <c r="K894" i="1" a="1"/>
  <c r="K894" i="1" s="1"/>
  <c r="K923" i="1" s="1"/>
  <c r="K922" i="1" s="1"/>
  <c r="G912" i="1" a="1"/>
  <c r="G912" i="1" s="1"/>
  <c r="H894" i="1" a="1"/>
  <c r="H894" i="1" s="1"/>
  <c r="H901" i="1" s="1"/>
  <c r="K996" i="1" a="1"/>
  <c r="K996" i="1" s="1"/>
  <c r="J996" i="1" a="1"/>
  <c r="J996" i="1" s="1"/>
  <c r="G989" i="1" a="1"/>
  <c r="G989" i="1" s="1"/>
  <c r="I996" i="1" a="1"/>
  <c r="I996" i="1" s="1"/>
  <c r="F989" i="1" a="1"/>
  <c r="F989" i="1" s="1"/>
  <c r="H996" i="1" a="1"/>
  <c r="H996" i="1" s="1"/>
  <c r="K989" i="1" a="1"/>
  <c r="K989" i="1" s="1"/>
  <c r="I989" i="1" a="1"/>
  <c r="I989" i="1" s="1"/>
  <c r="H989" i="1" a="1"/>
  <c r="H989" i="1" s="1"/>
  <c r="J989" i="1" a="1"/>
  <c r="J989" i="1" s="1"/>
  <c r="G996" i="1" a="1"/>
  <c r="G996" i="1" s="1"/>
  <c r="F996" i="1" a="1"/>
  <c r="F996" i="1" s="1"/>
  <c r="G997" i="1" a="1"/>
  <c r="G997" i="1" s="1"/>
  <c r="G1049" i="1" s="1" a="1"/>
  <c r="G1049" i="1" s="1"/>
  <c r="F997" i="1" a="1"/>
  <c r="F997" i="1" s="1"/>
  <c r="F1049" i="1" s="1" a="1"/>
  <c r="F1049" i="1" s="1"/>
  <c r="K1027" i="1" a="1"/>
  <c r="K1027" i="1" s="1"/>
  <c r="J1027" i="1" a="1"/>
  <c r="J1027" i="1" s="1"/>
  <c r="G1030" i="1" a="1"/>
  <c r="G1030" i="1" s="1"/>
  <c r="F1030" i="1" a="1"/>
  <c r="F1030" i="1" s="1"/>
  <c r="I973" i="1" a="1"/>
  <c r="I973" i="1" s="1"/>
  <c r="H973" i="1" a="1"/>
  <c r="H973" i="1" s="1"/>
  <c r="G973" i="1" a="1"/>
  <c r="G973" i="1" s="1"/>
  <c r="F973" i="1" a="1"/>
  <c r="F973" i="1" s="1"/>
  <c r="J973" i="1" a="1"/>
  <c r="J973" i="1" s="1"/>
  <c r="F983" i="1" a="1"/>
  <c r="F983" i="1" s="1"/>
  <c r="F977" i="1" a="1"/>
  <c r="F977" i="1" s="1"/>
  <c r="F1051" i="1" s="1" a="1"/>
  <c r="F1051" i="1" s="1"/>
  <c r="H976" i="1" a="1"/>
  <c r="H976" i="1" s="1"/>
  <c r="F976" i="1" a="1"/>
  <c r="F976" i="1" s="1"/>
  <c r="J974" i="1" a="1"/>
  <c r="J974" i="1" s="1"/>
  <c r="G974" i="1" a="1"/>
  <c r="G974" i="1" s="1"/>
  <c r="F974" i="1" a="1"/>
  <c r="F974" i="1" s="1"/>
  <c r="K977" i="1" a="1"/>
  <c r="K977" i="1" s="1"/>
  <c r="K1051" i="1" s="1" a="1"/>
  <c r="K1051" i="1" s="1"/>
  <c r="G976" i="1" a="1"/>
  <c r="G976" i="1" s="1"/>
  <c r="H977" i="1" a="1"/>
  <c r="H977" i="1" s="1"/>
  <c r="H1051" i="1" s="1" a="1"/>
  <c r="H1051" i="1" s="1"/>
  <c r="J977" i="1" a="1"/>
  <c r="J977" i="1" s="1"/>
  <c r="J1051" i="1" s="1" a="1"/>
  <c r="J1051" i="1" s="1"/>
  <c r="I977" i="1" a="1"/>
  <c r="I977" i="1" s="1"/>
  <c r="I1051" i="1" s="1" a="1"/>
  <c r="I1051" i="1" s="1"/>
  <c r="G977" i="1" a="1"/>
  <c r="G977" i="1" s="1"/>
  <c r="G1051" i="1" s="1" a="1"/>
  <c r="G1051" i="1" s="1"/>
  <c r="K974" i="1" a="1"/>
  <c r="K974" i="1" s="1"/>
  <c r="K983" i="1" a="1"/>
  <c r="K983" i="1" s="1"/>
  <c r="H983" i="1" a="1"/>
  <c r="H983" i="1" s="1"/>
  <c r="H974" i="1" a="1"/>
  <c r="H974" i="1" s="1"/>
  <c r="J976" i="1" a="1"/>
  <c r="J976" i="1" s="1"/>
  <c r="K976" i="1" a="1"/>
  <c r="K976" i="1" s="1"/>
  <c r="I974" i="1" a="1"/>
  <c r="I974" i="1" s="1"/>
  <c r="J983" i="1" a="1"/>
  <c r="J983" i="1" s="1"/>
  <c r="I983" i="1" a="1"/>
  <c r="I983" i="1" s="1"/>
  <c r="G983" i="1" a="1"/>
  <c r="G983" i="1" s="1"/>
  <c r="I976" i="1" a="1"/>
  <c r="I976" i="1" s="1"/>
  <c r="K973" i="1" a="1"/>
  <c r="K973" i="1" s="1"/>
  <c r="J1022" i="1" a="1"/>
  <c r="J1022" i="1" s="1"/>
  <c r="I1022" i="1" a="1"/>
  <c r="I1022" i="1" s="1"/>
  <c r="H1022" i="1" a="1"/>
  <c r="H1022" i="1" s="1"/>
  <c r="G1022" i="1" a="1"/>
  <c r="G1022" i="1" s="1"/>
  <c r="F1022" i="1" a="1"/>
  <c r="F1022" i="1" s="1"/>
  <c r="K1022" i="1" a="1"/>
  <c r="K1022" i="1" s="1"/>
  <c r="H1025" i="1" a="1"/>
  <c r="H1025" i="1" s="1"/>
  <c r="J1025" i="1" a="1"/>
  <c r="J1025" i="1" s="1"/>
  <c r="G1025" i="1" a="1"/>
  <c r="G1025" i="1" s="1"/>
  <c r="F1025" i="1" a="1"/>
  <c r="F1025" i="1" s="1"/>
  <c r="I1025" i="1" a="1"/>
  <c r="I1025" i="1" s="1"/>
  <c r="J1006" i="1" a="1"/>
  <c r="J1006" i="1" s="1"/>
  <c r="J1052" i="1" s="1" a="1"/>
  <c r="J1052" i="1" s="1"/>
  <c r="H1006" i="1" a="1"/>
  <c r="H1006" i="1" s="1"/>
  <c r="H1052" i="1" s="1" a="1"/>
  <c r="H1052" i="1" s="1"/>
  <c r="K1006" i="1" a="1"/>
  <c r="K1006" i="1" s="1"/>
  <c r="K1052" i="1" s="1" a="1"/>
  <c r="K1052" i="1" s="1"/>
  <c r="I1006" i="1" a="1"/>
  <c r="I1006" i="1" s="1"/>
  <c r="I1052" i="1" s="1" a="1"/>
  <c r="I1052" i="1" s="1"/>
  <c r="G1006" i="1" a="1"/>
  <c r="G1006" i="1" s="1"/>
  <c r="G1052" i="1" s="1" a="1"/>
  <c r="G1052" i="1" s="1"/>
  <c r="F1006" i="1" a="1"/>
  <c r="F1006" i="1" s="1"/>
  <c r="F1052" i="1" s="1" a="1"/>
  <c r="F1052" i="1" s="1"/>
  <c r="J997" i="1" a="1"/>
  <c r="J997" i="1" s="1"/>
  <c r="J1049" i="1" s="1" a="1"/>
  <c r="J1049" i="1" s="1"/>
  <c r="H997" i="1" a="1"/>
  <c r="H997" i="1" s="1"/>
  <c r="H1049" i="1" s="1" a="1"/>
  <c r="H1049" i="1" s="1"/>
  <c r="K997" i="1" a="1"/>
  <c r="K997" i="1" s="1"/>
  <c r="K1049" i="1" s="1" a="1"/>
  <c r="K1049" i="1" s="1"/>
  <c r="I997" i="1" a="1"/>
  <c r="I997" i="1" s="1"/>
  <c r="I1049" i="1" s="1" a="1"/>
  <c r="I1049" i="1" s="1"/>
  <c r="I1027" i="1" a="1"/>
  <c r="I1027" i="1" s="1"/>
  <c r="H1027" i="1" a="1"/>
  <c r="H1027" i="1" s="1"/>
  <c r="G1027" i="1" a="1"/>
  <c r="G1027" i="1" s="1"/>
  <c r="F1027" i="1" a="1"/>
  <c r="F1027" i="1" s="1"/>
  <c r="K1025" i="1" a="1"/>
  <c r="K1025" i="1" s="1"/>
  <c r="H1030" i="1" a="1"/>
  <c r="H1030" i="1" s="1"/>
  <c r="K854" i="1"/>
  <c r="J854" i="1"/>
  <c r="I854" i="1"/>
  <c r="H854" i="1"/>
  <c r="H853" i="1" s="1"/>
  <c r="G854" i="1"/>
  <c r="G853" i="1" s="1"/>
  <c r="F854" i="1"/>
  <c r="K853" i="1"/>
  <c r="J853" i="1"/>
  <c r="I853" i="1"/>
  <c r="F853" i="1"/>
  <c r="K851" i="1"/>
  <c r="J851" i="1"/>
  <c r="I851" i="1"/>
  <c r="H851" i="1"/>
  <c r="G851" i="1"/>
  <c r="F851" i="1"/>
  <c r="K849" i="1"/>
  <c r="J849" i="1"/>
  <c r="I849" i="1"/>
  <c r="H849" i="1"/>
  <c r="G849" i="1"/>
  <c r="F849" i="1"/>
  <c r="K847" i="1"/>
  <c r="J847" i="1"/>
  <c r="I847" i="1"/>
  <c r="H847" i="1"/>
  <c r="G847" i="1"/>
  <c r="F847" i="1"/>
  <c r="K845" i="1"/>
  <c r="J845" i="1"/>
  <c r="I845" i="1"/>
  <c r="H845" i="1"/>
  <c r="G845" i="1"/>
  <c r="F845" i="1"/>
  <c r="K843" i="1"/>
  <c r="J843" i="1"/>
  <c r="I843" i="1"/>
  <c r="H843" i="1"/>
  <c r="G843" i="1"/>
  <c r="F843" i="1"/>
  <c r="K841" i="1"/>
  <c r="J841" i="1"/>
  <c r="I841" i="1"/>
  <c r="H841" i="1"/>
  <c r="G841" i="1"/>
  <c r="F841" i="1"/>
  <c r="K831" i="1"/>
  <c r="J831" i="1"/>
  <c r="I831" i="1"/>
  <c r="H831" i="1"/>
  <c r="G831" i="1"/>
  <c r="F831" i="1"/>
  <c r="K829" i="1"/>
  <c r="J829" i="1"/>
  <c r="I829" i="1"/>
  <c r="H829" i="1"/>
  <c r="G829" i="1"/>
  <c r="F829" i="1"/>
  <c r="K827" i="1"/>
  <c r="J827" i="1"/>
  <c r="I827" i="1"/>
  <c r="H827" i="1"/>
  <c r="G827" i="1"/>
  <c r="F827" i="1"/>
  <c r="K826" i="1"/>
  <c r="J826" i="1"/>
  <c r="I826" i="1"/>
  <c r="H826" i="1"/>
  <c r="G826" i="1"/>
  <c r="F826" i="1"/>
  <c r="K825" i="1"/>
  <c r="J825" i="1"/>
  <c r="I825" i="1"/>
  <c r="H825" i="1"/>
  <c r="G825" i="1"/>
  <c r="F825" i="1"/>
  <c r="K823" i="1"/>
  <c r="J823" i="1"/>
  <c r="I823" i="1"/>
  <c r="H823" i="1"/>
  <c r="G823" i="1"/>
  <c r="F823" i="1"/>
  <c r="K822" i="1"/>
  <c r="J822" i="1"/>
  <c r="I822" i="1"/>
  <c r="H822" i="1"/>
  <c r="G822" i="1"/>
  <c r="F822" i="1"/>
  <c r="K820" i="1"/>
  <c r="J820" i="1"/>
  <c r="I820" i="1"/>
  <c r="H820" i="1"/>
  <c r="G820" i="1"/>
  <c r="F820" i="1"/>
  <c r="K819" i="1"/>
  <c r="J819" i="1"/>
  <c r="I819" i="1"/>
  <c r="H819" i="1"/>
  <c r="G819" i="1"/>
  <c r="F819" i="1"/>
  <c r="K818" i="1"/>
  <c r="J818" i="1"/>
  <c r="I818" i="1"/>
  <c r="H818" i="1"/>
  <c r="G818" i="1"/>
  <c r="F818" i="1"/>
  <c r="K816" i="1"/>
  <c r="J816" i="1"/>
  <c r="I816" i="1"/>
  <c r="H816" i="1"/>
  <c r="G816" i="1"/>
  <c r="F816" i="1"/>
  <c r="K813" i="1"/>
  <c r="J813" i="1"/>
  <c r="I813" i="1"/>
  <c r="H813" i="1"/>
  <c r="G813" i="1"/>
  <c r="F813" i="1"/>
  <c r="K811" i="1"/>
  <c r="J811" i="1"/>
  <c r="I811" i="1"/>
  <c r="H811" i="1"/>
  <c r="G811" i="1"/>
  <c r="F811" i="1"/>
  <c r="K809" i="1"/>
  <c r="J809" i="1"/>
  <c r="I809" i="1"/>
  <c r="H809" i="1"/>
  <c r="G809" i="1"/>
  <c r="F809" i="1"/>
  <c r="K805" i="1"/>
  <c r="J805" i="1"/>
  <c r="I805" i="1"/>
  <c r="H805" i="1"/>
  <c r="G805" i="1"/>
  <c r="F805" i="1"/>
  <c r="K789" i="1"/>
  <c r="J789" i="1"/>
  <c r="I789" i="1"/>
  <c r="H789" i="1"/>
  <c r="G789" i="1"/>
  <c r="F789" i="1"/>
  <c r="K787" i="1"/>
  <c r="J787" i="1"/>
  <c r="I787" i="1"/>
  <c r="H787" i="1"/>
  <c r="G787" i="1"/>
  <c r="F787" i="1"/>
  <c r="K786" i="1"/>
  <c r="J786" i="1"/>
  <c r="I786" i="1"/>
  <c r="H786" i="1"/>
  <c r="G786" i="1"/>
  <c r="F786" i="1"/>
  <c r="K780" i="1"/>
  <c r="J780" i="1"/>
  <c r="I780" i="1"/>
  <c r="H780" i="1"/>
  <c r="G780" i="1"/>
  <c r="F780" i="1"/>
  <c r="K776" i="1"/>
  <c r="J776" i="1"/>
  <c r="I776" i="1"/>
  <c r="H776" i="1"/>
  <c r="G776" i="1"/>
  <c r="F776" i="1"/>
  <c r="K774" i="1"/>
  <c r="J774" i="1"/>
  <c r="I774" i="1"/>
  <c r="H774" i="1"/>
  <c r="G774" i="1"/>
  <c r="F774" i="1"/>
  <c r="K772" i="1"/>
  <c r="J772" i="1"/>
  <c r="I772" i="1"/>
  <c r="H772" i="1"/>
  <c r="G772" i="1"/>
  <c r="F772" i="1"/>
  <c r="K770" i="1"/>
  <c r="J770" i="1"/>
  <c r="I770" i="1"/>
  <c r="H770" i="1"/>
  <c r="G770" i="1"/>
  <c r="F770" i="1"/>
  <c r="K765" i="1"/>
  <c r="J765" i="1"/>
  <c r="I765" i="1"/>
  <c r="H765" i="1"/>
  <c r="G765" i="1"/>
  <c r="F765" i="1"/>
  <c r="K762" i="1"/>
  <c r="J762" i="1"/>
  <c r="I762" i="1"/>
  <c r="H762" i="1"/>
  <c r="G762" i="1"/>
  <c r="F762" i="1"/>
  <c r="K705" i="1"/>
  <c r="J705" i="1"/>
  <c r="I705" i="1"/>
  <c r="H705" i="1"/>
  <c r="G705" i="1"/>
  <c r="F705" i="1"/>
  <c r="K704" i="1"/>
  <c r="J704" i="1"/>
  <c r="I704" i="1"/>
  <c r="H704" i="1"/>
  <c r="G704" i="1"/>
  <c r="F704" i="1"/>
  <c r="K676" i="1"/>
  <c r="J676" i="1"/>
  <c r="I676" i="1"/>
  <c r="H676" i="1"/>
  <c r="G676" i="1"/>
  <c r="F676" i="1"/>
  <c r="K675" i="1"/>
  <c r="J675" i="1"/>
  <c r="I675" i="1"/>
  <c r="H675" i="1"/>
  <c r="G675" i="1"/>
  <c r="F675" i="1"/>
  <c r="K667" i="1"/>
  <c r="K673" i="1" s="1"/>
  <c r="J667" i="1"/>
  <c r="J673" i="1" s="1"/>
  <c r="I667" i="1"/>
  <c r="I673" i="1" s="1"/>
  <c r="H667" i="1"/>
  <c r="H673" i="1" s="1"/>
  <c r="G667" i="1"/>
  <c r="G673" i="1" s="1"/>
  <c r="F667" i="1"/>
  <c r="F673" i="1" s="1"/>
  <c r="K666" i="1"/>
  <c r="K672" i="1" s="1"/>
  <c r="J666" i="1"/>
  <c r="J672" i="1" s="1"/>
  <c r="I666" i="1"/>
  <c r="I672" i="1" s="1"/>
  <c r="H666" i="1"/>
  <c r="H672" i="1" s="1"/>
  <c r="G666" i="1"/>
  <c r="G672" i="1" s="1"/>
  <c r="F666" i="1"/>
  <c r="F672" i="1" s="1"/>
  <c r="K665" i="1"/>
  <c r="J665" i="1"/>
  <c r="I665" i="1"/>
  <c r="H665" i="1"/>
  <c r="G665" i="1"/>
  <c r="F665" i="1"/>
  <c r="K661" i="1"/>
  <c r="J661" i="1"/>
  <c r="I661" i="1"/>
  <c r="H661" i="1"/>
  <c r="G661" i="1"/>
  <c r="F661" i="1"/>
  <c r="K619" i="1"/>
  <c r="J619" i="1"/>
  <c r="I619" i="1"/>
  <c r="H619" i="1"/>
  <c r="G619" i="1"/>
  <c r="F619" i="1"/>
  <c r="K614" i="1"/>
  <c r="J614" i="1"/>
  <c r="I614" i="1"/>
  <c r="H614" i="1"/>
  <c r="G614" i="1"/>
  <c r="F614" i="1"/>
  <c r="K613" i="1"/>
  <c r="J613" i="1"/>
  <c r="I613" i="1"/>
  <c r="H613" i="1"/>
  <c r="G613" i="1"/>
  <c r="F613" i="1"/>
  <c r="K598" i="1"/>
  <c r="J598" i="1"/>
  <c r="I598" i="1"/>
  <c r="H598" i="1"/>
  <c r="G598" i="1"/>
  <c r="F598" i="1"/>
  <c r="K580" i="1"/>
  <c r="J580" i="1"/>
  <c r="I580" i="1"/>
  <c r="H580" i="1"/>
  <c r="G580" i="1"/>
  <c r="F580" i="1"/>
  <c r="K503" i="1"/>
  <c r="J503" i="1"/>
  <c r="I503" i="1"/>
  <c r="H503" i="1"/>
  <c r="G503" i="1"/>
  <c r="F503" i="1"/>
  <c r="K460" i="1"/>
  <c r="J460" i="1"/>
  <c r="I460" i="1"/>
  <c r="H460" i="1"/>
  <c r="G460" i="1"/>
  <c r="F460" i="1"/>
  <c r="K458" i="1"/>
  <c r="J458" i="1"/>
  <c r="I458" i="1"/>
  <c r="H458" i="1"/>
  <c r="G458" i="1"/>
  <c r="F458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48" i="1"/>
  <c r="J448" i="1"/>
  <c r="I448" i="1"/>
  <c r="H448" i="1"/>
  <c r="G448" i="1"/>
  <c r="F448" i="1"/>
  <c r="K446" i="1"/>
  <c r="J446" i="1"/>
  <c r="I446" i="1"/>
  <c r="H446" i="1"/>
  <c r="G446" i="1"/>
  <c r="F446" i="1"/>
  <c r="K444" i="1"/>
  <c r="J444" i="1"/>
  <c r="I444" i="1"/>
  <c r="H444" i="1"/>
  <c r="G444" i="1"/>
  <c r="F444" i="1"/>
  <c r="K442" i="1"/>
  <c r="J442" i="1"/>
  <c r="I442" i="1"/>
  <c r="H442" i="1"/>
  <c r="G442" i="1"/>
  <c r="F442" i="1"/>
  <c r="K406" i="1"/>
  <c r="J406" i="1"/>
  <c r="I406" i="1"/>
  <c r="H406" i="1"/>
  <c r="G406" i="1"/>
  <c r="F406" i="1"/>
  <c r="K405" i="1"/>
  <c r="J405" i="1"/>
  <c r="I405" i="1"/>
  <c r="H405" i="1"/>
  <c r="G405" i="1"/>
  <c r="F405" i="1"/>
  <c r="K404" i="1"/>
  <c r="J404" i="1"/>
  <c r="I404" i="1"/>
  <c r="H404" i="1"/>
  <c r="G404" i="1"/>
  <c r="F404" i="1"/>
  <c r="K403" i="1"/>
  <c r="J403" i="1"/>
  <c r="I403" i="1"/>
  <c r="H403" i="1"/>
  <c r="G403" i="1"/>
  <c r="F403" i="1"/>
  <c r="K402" i="1"/>
  <c r="J402" i="1"/>
  <c r="I402" i="1"/>
  <c r="H402" i="1"/>
  <c r="G402" i="1"/>
  <c r="F402" i="1"/>
  <c r="K401" i="1"/>
  <c r="J401" i="1"/>
  <c r="I401" i="1"/>
  <c r="H401" i="1"/>
  <c r="G401" i="1"/>
  <c r="F401" i="1"/>
  <c r="K400" i="1"/>
  <c r="J400" i="1"/>
  <c r="I400" i="1"/>
  <c r="H400" i="1"/>
  <c r="G400" i="1"/>
  <c r="F400" i="1"/>
  <c r="K394" i="1"/>
  <c r="J394" i="1"/>
  <c r="I394" i="1"/>
  <c r="H394" i="1"/>
  <c r="G394" i="1"/>
  <c r="F394" i="1"/>
  <c r="K392" i="1"/>
  <c r="J392" i="1"/>
  <c r="I392" i="1"/>
  <c r="H392" i="1"/>
  <c r="G392" i="1"/>
  <c r="F392" i="1"/>
  <c r="K391" i="1"/>
  <c r="J391" i="1"/>
  <c r="I391" i="1"/>
  <c r="H391" i="1"/>
  <c r="G391" i="1"/>
  <c r="F391" i="1"/>
  <c r="K390" i="1"/>
  <c r="J390" i="1"/>
  <c r="I390" i="1"/>
  <c r="H390" i="1"/>
  <c r="G390" i="1"/>
  <c r="F390" i="1"/>
  <c r="K389" i="1"/>
  <c r="J389" i="1"/>
  <c r="I389" i="1"/>
  <c r="H389" i="1"/>
  <c r="G389" i="1"/>
  <c r="F389" i="1"/>
  <c r="K388" i="1"/>
  <c r="J388" i="1"/>
  <c r="I388" i="1"/>
  <c r="H388" i="1"/>
  <c r="G388" i="1"/>
  <c r="F388" i="1"/>
  <c r="K386" i="1"/>
  <c r="J386" i="1"/>
  <c r="I386" i="1"/>
  <c r="H386" i="1"/>
  <c r="G386" i="1"/>
  <c r="F386" i="1"/>
  <c r="K379" i="1"/>
  <c r="J379" i="1"/>
  <c r="I379" i="1"/>
  <c r="H379" i="1"/>
  <c r="G379" i="1"/>
  <c r="F379" i="1"/>
  <c r="K358" i="1"/>
  <c r="J358" i="1"/>
  <c r="I358" i="1"/>
  <c r="H358" i="1"/>
  <c r="G358" i="1"/>
  <c r="F358" i="1"/>
  <c r="K357" i="1"/>
  <c r="J357" i="1"/>
  <c r="I357" i="1"/>
  <c r="H357" i="1"/>
  <c r="G357" i="1"/>
  <c r="F357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297" i="1"/>
  <c r="J297" i="1"/>
  <c r="I297" i="1"/>
  <c r="H297" i="1"/>
  <c r="G297" i="1"/>
  <c r="F297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1" i="1"/>
  <c r="J291" i="1"/>
  <c r="I291" i="1"/>
  <c r="H291" i="1"/>
  <c r="G291" i="1"/>
  <c r="F291" i="1"/>
  <c r="K393" i="1"/>
  <c r="J393" i="1"/>
  <c r="I393" i="1"/>
  <c r="H393" i="1"/>
  <c r="G393" i="1"/>
  <c r="F393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33" i="1"/>
  <c r="J233" i="1"/>
  <c r="I233" i="1"/>
  <c r="H233" i="1"/>
  <c r="G233" i="1"/>
  <c r="F233" i="1"/>
  <c r="K230" i="1"/>
  <c r="J230" i="1"/>
  <c r="I230" i="1"/>
  <c r="H230" i="1"/>
  <c r="G230" i="1"/>
  <c r="F230" i="1"/>
  <c r="K228" i="1"/>
  <c r="J228" i="1"/>
  <c r="I228" i="1"/>
  <c r="H228" i="1"/>
  <c r="G228" i="1"/>
  <c r="F228" i="1"/>
  <c r="K226" i="1"/>
  <c r="J226" i="1"/>
  <c r="I226" i="1"/>
  <c r="H226" i="1"/>
  <c r="G226" i="1"/>
  <c r="F226" i="1"/>
  <c r="K224" i="1"/>
  <c r="J224" i="1"/>
  <c r="I224" i="1"/>
  <c r="H224" i="1"/>
  <c r="G224" i="1"/>
  <c r="F224" i="1"/>
  <c r="K218" i="1"/>
  <c r="J218" i="1"/>
  <c r="I218" i="1"/>
  <c r="H218" i="1"/>
  <c r="G218" i="1"/>
  <c r="F218" i="1"/>
  <c r="K216" i="1"/>
  <c r="J216" i="1"/>
  <c r="I216" i="1"/>
  <c r="H216" i="1"/>
  <c r="G216" i="1"/>
  <c r="F216" i="1"/>
  <c r="K214" i="1"/>
  <c r="J214" i="1"/>
  <c r="I214" i="1"/>
  <c r="H214" i="1"/>
  <c r="H210" i="1" s="1"/>
  <c r="G214" i="1"/>
  <c r="F214" i="1"/>
  <c r="F210" i="1" s="1"/>
  <c r="K210" i="1"/>
  <c r="J210" i="1"/>
  <c r="I210" i="1"/>
  <c r="G210" i="1"/>
  <c r="K207" i="1"/>
  <c r="J207" i="1"/>
  <c r="I207" i="1"/>
  <c r="H207" i="1"/>
  <c r="G207" i="1"/>
  <c r="F207" i="1"/>
  <c r="K205" i="1"/>
  <c r="J205" i="1"/>
  <c r="I205" i="1"/>
  <c r="H205" i="1"/>
  <c r="G205" i="1"/>
  <c r="F205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3" i="1"/>
  <c r="J183" i="1"/>
  <c r="I183" i="1"/>
  <c r="H183" i="1"/>
  <c r="G183" i="1"/>
  <c r="F183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0" i="1"/>
  <c r="J170" i="1"/>
  <c r="J398" i="1" s="1"/>
  <c r="J518" i="1" s="1"/>
  <c r="I170" i="1"/>
  <c r="H170" i="1"/>
  <c r="H398" i="1" s="1"/>
  <c r="H518" i="1" s="1"/>
  <c r="G170" i="1"/>
  <c r="G398" i="1" s="1"/>
  <c r="G518" i="1" s="1"/>
  <c r="F170" i="1"/>
  <c r="F398" i="1" s="1"/>
  <c r="F518" i="1" s="1"/>
  <c r="K169" i="1"/>
  <c r="J169" i="1"/>
  <c r="J397" i="1" s="1"/>
  <c r="J517" i="1" s="1"/>
  <c r="I169" i="1"/>
  <c r="I397" i="1" s="1"/>
  <c r="I517" i="1" s="1"/>
  <c r="H169" i="1"/>
  <c r="H397" i="1" s="1"/>
  <c r="H517" i="1" s="1"/>
  <c r="G169" i="1"/>
  <c r="G397" i="1" s="1"/>
  <c r="G517" i="1" s="1"/>
  <c r="F169" i="1"/>
  <c r="F397" i="1" s="1"/>
  <c r="F517" i="1" s="1"/>
  <c r="K168" i="1"/>
  <c r="K396" i="1" s="1"/>
  <c r="K437" i="1" s="1"/>
  <c r="J168" i="1"/>
  <c r="I168" i="1"/>
  <c r="I396" i="1" s="1"/>
  <c r="I437" i="1" s="1"/>
  <c r="H168" i="1"/>
  <c r="H396" i="1" s="1"/>
  <c r="H437" i="1" s="1"/>
  <c r="G168" i="1"/>
  <c r="G396" i="1" s="1"/>
  <c r="G437" i="1" s="1"/>
  <c r="F168" i="1"/>
  <c r="F396" i="1" s="1"/>
  <c r="F437" i="1" s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8" i="1"/>
  <c r="J158" i="1"/>
  <c r="I158" i="1"/>
  <c r="H158" i="1"/>
  <c r="G158" i="1"/>
  <c r="F158" i="1"/>
  <c r="K156" i="1"/>
  <c r="J156" i="1"/>
  <c r="J384" i="1" s="1"/>
  <c r="J515" i="1" s="1"/>
  <c r="I156" i="1"/>
  <c r="H156" i="1"/>
  <c r="H384" i="1" s="1"/>
  <c r="H515" i="1" s="1"/>
  <c r="G156" i="1"/>
  <c r="G384" i="1" s="1"/>
  <c r="G515" i="1" s="1"/>
  <c r="F156" i="1"/>
  <c r="F384" i="1" s="1"/>
  <c r="F515" i="1" s="1"/>
  <c r="K155" i="1"/>
  <c r="J155" i="1"/>
  <c r="J383" i="1" s="1"/>
  <c r="J514" i="1" s="1"/>
  <c r="I155" i="1"/>
  <c r="H155" i="1"/>
  <c r="H383" i="1" s="1"/>
  <c r="H514" i="1" s="1"/>
  <c r="G155" i="1"/>
  <c r="F155" i="1"/>
  <c r="F383" i="1" s="1"/>
  <c r="F514" i="1" s="1"/>
  <c r="K154" i="1"/>
  <c r="J154" i="1"/>
  <c r="J382" i="1" s="1"/>
  <c r="J513" i="1" s="1"/>
  <c r="I154" i="1"/>
  <c r="H154" i="1"/>
  <c r="H382" i="1" s="1"/>
  <c r="H513" i="1" s="1"/>
  <c r="G154" i="1"/>
  <c r="G382" i="1" s="1"/>
  <c r="G513" i="1" s="1"/>
  <c r="F154" i="1"/>
  <c r="F382" i="1" s="1"/>
  <c r="F513" i="1" s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K378" i="1" s="1"/>
  <c r="K435" i="1" s="1"/>
  <c r="J150" i="1"/>
  <c r="J378" i="1" s="1"/>
  <c r="J435" i="1" s="1"/>
  <c r="I150" i="1"/>
  <c r="I378" i="1" s="1"/>
  <c r="I435" i="1" s="1"/>
  <c r="H150" i="1"/>
  <c r="H378" i="1" s="1"/>
  <c r="H435" i="1" s="1"/>
  <c r="G150" i="1"/>
  <c r="G378" i="1" s="1"/>
  <c r="G435" i="1" s="1"/>
  <c r="F150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J132" i="1"/>
  <c r="I132" i="1"/>
  <c r="H132" i="1"/>
  <c r="G132" i="1"/>
  <c r="F132" i="1"/>
  <c r="K131" i="1"/>
  <c r="J131" i="1"/>
  <c r="I131" i="1"/>
  <c r="H131" i="1"/>
  <c r="G131" i="1"/>
  <c r="F131" i="1"/>
  <c r="K130" i="1"/>
  <c r="J130" i="1"/>
  <c r="I130" i="1"/>
  <c r="H130" i="1"/>
  <c r="H137" i="1" s="1" a="1"/>
  <c r="H137" i="1" s="1"/>
  <c r="G130" i="1"/>
  <c r="F130" i="1"/>
  <c r="K129" i="1"/>
  <c r="J129" i="1"/>
  <c r="I129" i="1"/>
  <c r="H129" i="1"/>
  <c r="G129" i="1"/>
  <c r="F129" i="1"/>
  <c r="K95" i="1"/>
  <c r="K127" i="1" s="1"/>
  <c r="J95" i="1"/>
  <c r="J127" i="1" s="1"/>
  <c r="I95" i="1"/>
  <c r="I127" i="1" s="1"/>
  <c r="H95" i="1"/>
  <c r="G95" i="1"/>
  <c r="G127" i="1" s="1"/>
  <c r="F95" i="1"/>
  <c r="K94" i="1"/>
  <c r="J94" i="1"/>
  <c r="J126" i="1" s="1"/>
  <c r="I94" i="1"/>
  <c r="H94" i="1"/>
  <c r="G94" i="1"/>
  <c r="F94" i="1"/>
  <c r="K93" i="1"/>
  <c r="J93" i="1"/>
  <c r="J321" i="1" s="1"/>
  <c r="J476" i="1" s="1"/>
  <c r="I93" i="1"/>
  <c r="H93" i="1"/>
  <c r="H321" i="1" s="1"/>
  <c r="H476" i="1" s="1"/>
  <c r="G93" i="1"/>
  <c r="F93" i="1"/>
  <c r="F321" i="1" s="1"/>
  <c r="F476" i="1" s="1"/>
  <c r="K92" i="1"/>
  <c r="J92" i="1"/>
  <c r="I92" i="1"/>
  <c r="I124" i="1" s="1"/>
  <c r="H92" i="1"/>
  <c r="G92" i="1"/>
  <c r="G124" i="1" s="1"/>
  <c r="F92" i="1"/>
  <c r="K91" i="1"/>
  <c r="K123" i="1" s="1"/>
  <c r="J91" i="1"/>
  <c r="J319" i="1" s="1"/>
  <c r="J474" i="1" s="1"/>
  <c r="I91" i="1"/>
  <c r="I123" i="1" s="1"/>
  <c r="H91" i="1"/>
  <c r="G91" i="1"/>
  <c r="G123" i="1" s="1"/>
  <c r="F91" i="1"/>
  <c r="F123" i="1" s="1"/>
  <c r="K90" i="1"/>
  <c r="K122" i="1" s="1"/>
  <c r="J90" i="1"/>
  <c r="I90" i="1"/>
  <c r="H90" i="1"/>
  <c r="G90" i="1"/>
  <c r="G122" i="1" s="1"/>
  <c r="F90" i="1"/>
  <c r="K89" i="1"/>
  <c r="K121" i="1" s="1"/>
  <c r="J89" i="1"/>
  <c r="I89" i="1"/>
  <c r="I121" i="1" s="1"/>
  <c r="H89" i="1"/>
  <c r="G89" i="1"/>
  <c r="G121" i="1" s="1"/>
  <c r="F89" i="1"/>
  <c r="F121" i="1" s="1"/>
  <c r="K88" i="1"/>
  <c r="K120" i="1" s="1"/>
  <c r="J88" i="1"/>
  <c r="I88" i="1"/>
  <c r="I120" i="1" s="1"/>
  <c r="H88" i="1"/>
  <c r="G88" i="1"/>
  <c r="F88" i="1"/>
  <c r="F316" i="1" s="1"/>
  <c r="F471" i="1" s="1"/>
  <c r="K87" i="1"/>
  <c r="K119" i="1" s="1"/>
  <c r="J87" i="1"/>
  <c r="I87" i="1"/>
  <c r="I119" i="1" s="1"/>
  <c r="H87" i="1"/>
  <c r="G87" i="1"/>
  <c r="G119" i="1" s="1"/>
  <c r="F87" i="1"/>
  <c r="K86" i="1"/>
  <c r="K118" i="1" s="1"/>
  <c r="J86" i="1"/>
  <c r="J118" i="1" s="1"/>
  <c r="I86" i="1"/>
  <c r="I118" i="1" s="1"/>
  <c r="H86" i="1"/>
  <c r="H118" i="1" s="1"/>
  <c r="G86" i="1"/>
  <c r="G118" i="1" s="1"/>
  <c r="F86" i="1"/>
  <c r="K85" i="1"/>
  <c r="J85" i="1"/>
  <c r="I85" i="1"/>
  <c r="H85" i="1"/>
  <c r="H117" i="1" s="1"/>
  <c r="G85" i="1"/>
  <c r="F85" i="1"/>
  <c r="K84" i="1"/>
  <c r="J84" i="1"/>
  <c r="I84" i="1"/>
  <c r="H84" i="1"/>
  <c r="H116" i="1" s="1"/>
  <c r="G84" i="1"/>
  <c r="G312" i="1" s="1"/>
  <c r="G417" i="1" s="1"/>
  <c r="F84" i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K82" i="1"/>
  <c r="K114" i="1" s="1"/>
  <c r="J82" i="1"/>
  <c r="J114" i="1" s="1"/>
  <c r="I82" i="1"/>
  <c r="I114" i="1" s="1"/>
  <c r="H82" i="1"/>
  <c r="H114" i="1" s="1"/>
  <c r="G82" i="1"/>
  <c r="G114" i="1" s="1"/>
  <c r="F82" i="1"/>
  <c r="F114" i="1" s="1"/>
  <c r="K81" i="1"/>
  <c r="K113" i="1" s="1"/>
  <c r="J81" i="1"/>
  <c r="J113" i="1" s="1"/>
  <c r="I81" i="1"/>
  <c r="I113" i="1" s="1"/>
  <c r="H81" i="1"/>
  <c r="H113" i="1" s="1"/>
  <c r="G81" i="1"/>
  <c r="G113" i="1" s="1"/>
  <c r="F81" i="1"/>
  <c r="F113" i="1" s="1"/>
  <c r="K75" i="1"/>
  <c r="J75" i="1"/>
  <c r="I75" i="1"/>
  <c r="H75" i="1"/>
  <c r="G75" i="1"/>
  <c r="F75" i="1"/>
  <c r="K74" i="1"/>
  <c r="J74" i="1"/>
  <c r="I74" i="1"/>
  <c r="H74" i="1"/>
  <c r="G74" i="1"/>
  <c r="F74" i="1"/>
  <c r="K71" i="1"/>
  <c r="J71" i="1"/>
  <c r="I71" i="1"/>
  <c r="H71" i="1"/>
  <c r="G71" i="1"/>
  <c r="F71" i="1"/>
  <c r="K70" i="1"/>
  <c r="J70" i="1"/>
  <c r="I70" i="1"/>
  <c r="H70" i="1"/>
  <c r="G70" i="1"/>
  <c r="F70" i="1"/>
  <c r="K69" i="1"/>
  <c r="J69" i="1"/>
  <c r="I69" i="1"/>
  <c r="H69" i="1"/>
  <c r="G69" i="1"/>
  <c r="F69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3" i="1"/>
  <c r="J63" i="1"/>
  <c r="I63" i="1"/>
  <c r="H63" i="1"/>
  <c r="G63" i="1"/>
  <c r="F63" i="1"/>
  <c r="G2044" i="1" a="1"/>
  <c r="G2044" i="1"/>
  <c r="H2042" i="1" a="1"/>
  <c r="H2042" i="1"/>
  <c r="H2044" i="1" a="1"/>
  <c r="H2044" i="1"/>
  <c r="K2042" i="1" a="1"/>
  <c r="K2042" i="1"/>
  <c r="K2044" i="1" a="1"/>
  <c r="K2044" i="1"/>
  <c r="F2044" i="1" a="1"/>
  <c r="F2044" i="1"/>
  <c r="J2043" i="1" a="1"/>
  <c r="J2043" i="1"/>
  <c r="F2043" i="1" a="1"/>
  <c r="F2043" i="1"/>
  <c r="G2042" i="1" a="1"/>
  <c r="G2042" i="1"/>
  <c r="K2043" i="1" a="1"/>
  <c r="K2043" i="1" s="1"/>
  <c r="J2044" i="1" a="1"/>
  <c r="J2044" i="1" s="1"/>
  <c r="F2042" i="1" a="1"/>
  <c r="F2042" i="1" s="1"/>
  <c r="I2042" i="1" a="1"/>
  <c r="I2042" i="1" s="1"/>
  <c r="H2043" i="1" a="1"/>
  <c r="H2043" i="1"/>
  <c r="I2043" i="1" a="1"/>
  <c r="I2043" i="1" s="1"/>
  <c r="I2044" i="1" a="1"/>
  <c r="I2044" i="1" s="1"/>
  <c r="G2043" i="1" a="1"/>
  <c r="G2043" i="1" s="1"/>
  <c r="J2042" i="1" a="1"/>
  <c r="J2042" i="1" s="1"/>
  <c r="J2038" i="1" a="1"/>
  <c r="J2038" i="1" s="1"/>
  <c r="J2036" i="1" a="1"/>
  <c r="J2036" i="1" s="1"/>
  <c r="I2035" i="1" a="1"/>
  <c r="I2035" i="1" s="1"/>
  <c r="I2031" i="1" a="1"/>
  <c r="I2031" i="1" s="1"/>
  <c r="I2038" i="1" a="1"/>
  <c r="I2038" i="1" s="1"/>
  <c r="H2038" i="1" a="1"/>
  <c r="H2038" i="1" s="1"/>
  <c r="F2038" i="1" a="1"/>
  <c r="F2038" i="1" s="1"/>
  <c r="I2037" i="1" a="1"/>
  <c r="I2037" i="1" s="1"/>
  <c r="F2033" i="1" a="1"/>
  <c r="F2033" i="1" s="1"/>
  <c r="H2037" i="1" a="1"/>
  <c r="H2037" i="1" s="1"/>
  <c r="K2034" i="1" a="1"/>
  <c r="K2034" i="1" s="1"/>
  <c r="H2034" i="1" a="1"/>
  <c r="H2034" i="1" s="1"/>
  <c r="F2037" i="1" a="1"/>
  <c r="F2037" i="1" s="1"/>
  <c r="K2036" i="1" a="1"/>
  <c r="K2036" i="1" s="1"/>
  <c r="H2033" i="1" a="1"/>
  <c r="H2033" i="1" s="1"/>
  <c r="H2031" i="1" a="1"/>
  <c r="H2031" i="1" s="1"/>
  <c r="I2034" i="1" a="1"/>
  <c r="I2034" i="1" s="1"/>
  <c r="G2036" i="1" a="1"/>
  <c r="G2036" i="1" s="1"/>
  <c r="F2036" i="1" a="1"/>
  <c r="F2036" i="1" s="1"/>
  <c r="J2032" i="1" a="1"/>
  <c r="J2032" i="1" s="1"/>
  <c r="K2035" i="1" a="1"/>
  <c r="K2035" i="1" s="1"/>
  <c r="G2033" i="1" a="1"/>
  <c r="G2033" i="1" s="1"/>
  <c r="J2034" i="1" a="1"/>
  <c r="J2034" i="1" s="1"/>
  <c r="G2035" i="1" a="1"/>
  <c r="G2035" i="1" s="1"/>
  <c r="K2033" i="1" a="1"/>
  <c r="K2033" i="1" s="1"/>
  <c r="H2035" i="1" a="1"/>
  <c r="H2035" i="1" s="1"/>
  <c r="G2032" i="1" a="1"/>
  <c r="G2032" i="1" s="1"/>
  <c r="J2035" i="1" a="1"/>
  <c r="J2035" i="1" s="1"/>
  <c r="K2032" i="1" a="1"/>
  <c r="K2032" i="1" s="1"/>
  <c r="K2041" i="1" a="1"/>
  <c r="K2041" i="1" s="1"/>
  <c r="J2041" i="1" a="1"/>
  <c r="J2041" i="1" s="1"/>
  <c r="H2032" i="1" a="1"/>
  <c r="H2032" i="1" s="1"/>
  <c r="I2041" i="1" a="1"/>
  <c r="I2041" i="1" s="1"/>
  <c r="H2041" i="1" a="1"/>
  <c r="H2041" i="1" s="1"/>
  <c r="G2034" i="1" a="1"/>
  <c r="G2034" i="1" s="1"/>
  <c r="G2041" i="1" a="1"/>
  <c r="G2041" i="1" s="1"/>
  <c r="H2040" i="1" a="1"/>
  <c r="H2040" i="1" s="1"/>
  <c r="K2038" i="1" a="1"/>
  <c r="K2038" i="1" s="1"/>
  <c r="K2031" i="1" a="1"/>
  <c r="K2031" i="1" s="1"/>
  <c r="J2031" i="1" a="1"/>
  <c r="J2031" i="1" s="1"/>
  <c r="F2039" i="1" a="1"/>
  <c r="F2039" i="1" s="1"/>
  <c r="J2039" i="1" a="1"/>
  <c r="J2039" i="1" s="1"/>
  <c r="I2039" i="1" a="1"/>
  <c r="I2039" i="1" s="1"/>
  <c r="F2034" i="1" a="1"/>
  <c r="F2034" i="1" s="1"/>
  <c r="J2037" i="1" a="1"/>
  <c r="J2037" i="1" s="1"/>
  <c r="G2037" i="1" a="1"/>
  <c r="G2037" i="1" s="1"/>
  <c r="H2036" i="1" a="1"/>
  <c r="H2036" i="1" s="1"/>
  <c r="J2033" i="1" a="1"/>
  <c r="J2033" i="1" s="1"/>
  <c r="I2033" i="1" a="1"/>
  <c r="I2033" i="1" s="1"/>
  <c r="K2040" i="1" a="1"/>
  <c r="K2040" i="1" s="1"/>
  <c r="F2041" i="1" a="1"/>
  <c r="F2041" i="1" s="1"/>
  <c r="J2040" i="1" a="1"/>
  <c r="J2040" i="1" s="1"/>
  <c r="I2040" i="1" a="1"/>
  <c r="I2040" i="1" s="1"/>
  <c r="G2040" i="1" a="1"/>
  <c r="G2040" i="1" s="1"/>
  <c r="G2038" i="1" a="1"/>
  <c r="G2038" i="1" s="1"/>
  <c r="I2032" i="1" a="1"/>
  <c r="I2032" i="1" s="1"/>
  <c r="K2037" i="1" a="1"/>
  <c r="K2037" i="1" s="1"/>
  <c r="F2035" i="1" a="1"/>
  <c r="F2035" i="1" s="1"/>
  <c r="F2040" i="1" a="1"/>
  <c r="F2040" i="1" s="1"/>
  <c r="G2039" i="1" a="1"/>
  <c r="G2039" i="1" s="1"/>
  <c r="I2036" i="1" a="1"/>
  <c r="I2036" i="1" s="1"/>
  <c r="F2032" i="1" a="1"/>
  <c r="F2032" i="1" s="1"/>
  <c r="K2039" i="1" a="1"/>
  <c r="K2039" i="1" s="1"/>
  <c r="H2039" i="1" a="1"/>
  <c r="H2039" i="1" s="1"/>
  <c r="J2030" i="1" a="1"/>
  <c r="J2030" i="1" s="1"/>
  <c r="I2030" i="1" a="1"/>
  <c r="I2030" i="1" s="1"/>
  <c r="H2030" i="1" a="1"/>
  <c r="H2030" i="1" s="1"/>
  <c r="G2030" i="1" a="1"/>
  <c r="G2030" i="1" s="1"/>
  <c r="K2027" i="1" a="1"/>
  <c r="K2027" i="1" s="1"/>
  <c r="K2026" i="1" s="1" a="1"/>
  <c r="K2026" i="1" s="1"/>
  <c r="F2030" i="1" a="1"/>
  <c r="F2030" i="1"/>
  <c r="I2029" i="1" a="1"/>
  <c r="I2029" i="1" s="1"/>
  <c r="H2029" i="1" a="1"/>
  <c r="H2029" i="1" s="1"/>
  <c r="J2027" i="1" a="1"/>
  <c r="J2027" i="1" s="1"/>
  <c r="J2026" i="1" s="1" a="1"/>
  <c r="J2026" i="1" s="1"/>
  <c r="H2027" i="1" a="1"/>
  <c r="H2027" i="1" s="1"/>
  <c r="H2026" i="1" s="1" a="1"/>
  <c r="H2026" i="1" s="1"/>
  <c r="F2021" i="1" a="1"/>
  <c r="F2021" i="1" s="1"/>
  <c r="J2020" i="1" a="1"/>
  <c r="J2020" i="1" s="1"/>
  <c r="F2024" i="1" a="1"/>
  <c r="F2024" i="1" s="1"/>
  <c r="F2023" i="1" s="1" a="1"/>
  <c r="F2023" i="1" s="1"/>
  <c r="K2020" i="1" a="1"/>
  <c r="K2020" i="1"/>
  <c r="J2024" i="1" a="1"/>
  <c r="J2024" i="1" s="1"/>
  <c r="J2023" i="1" s="1" a="1"/>
  <c r="J2023" i="1" s="1"/>
  <c r="I2027" i="1" a="1"/>
  <c r="I2027" i="1" s="1"/>
  <c r="I2026" i="1" s="1" a="1"/>
  <c r="I2026" i="1" s="1"/>
  <c r="H2021" i="1" a="1"/>
  <c r="H2021" i="1" s="1"/>
  <c r="I2021" i="1" a="1"/>
  <c r="I2021" i="1" s="1"/>
  <c r="G2021" i="1" a="1"/>
  <c r="G2021" i="1" s="1"/>
  <c r="G2024" i="1" a="1"/>
  <c r="G2024" i="1" s="1"/>
  <c r="G2023" i="1" s="1" a="1"/>
  <c r="G2023" i="1" s="1"/>
  <c r="I2024" i="1" a="1"/>
  <c r="I2024" i="1" s="1"/>
  <c r="F2020" i="1" a="1"/>
  <c r="F2020" i="1" s="1"/>
  <c r="H2024" i="1" a="1"/>
  <c r="H2024" i="1" s="1"/>
  <c r="J2029" i="1" a="1"/>
  <c r="J2029" i="1" s="1"/>
  <c r="F2027" i="1" a="1"/>
  <c r="F2027" i="1" s="1"/>
  <c r="F2026" i="1" s="1" a="1"/>
  <c r="F2026" i="1" s="1"/>
  <c r="H2023" i="1" a="1"/>
  <c r="H2023" i="1" s="1"/>
  <c r="G2029" i="1" a="1"/>
  <c r="G2029" i="1" s="1"/>
  <c r="F2029" i="1" a="1"/>
  <c r="F2029" i="1" s="1"/>
  <c r="K2024" i="1" a="1"/>
  <c r="K2024" i="1" s="1"/>
  <c r="K2023" i="1" s="1" a="1"/>
  <c r="K2023" i="1" s="1"/>
  <c r="G2027" i="1" a="1"/>
  <c r="G2027" i="1"/>
  <c r="G2026" i="1" s="1" a="1"/>
  <c r="G2026" i="1" s="1"/>
  <c r="I2020" i="1" a="1"/>
  <c r="I2020" i="1" s="1"/>
  <c r="I2023" i="1" a="1"/>
  <c r="I2023" i="1" s="1"/>
  <c r="J2021" i="1" a="1"/>
  <c r="J2021" i="1" s="1"/>
  <c r="H2020" i="1" a="1"/>
  <c r="H2020" i="1" s="1"/>
  <c r="G2020" i="1" a="1"/>
  <c r="G2020" i="1" s="1"/>
  <c r="G2031" i="1" a="1"/>
  <c r="G2031" i="1" s="1"/>
  <c r="K2029" i="1" a="1"/>
  <c r="K2029" i="1" s="1"/>
  <c r="K2021" i="1" a="1"/>
  <c r="K2021" i="1" s="1"/>
  <c r="F2031" i="1" a="1"/>
  <c r="F2031" i="1" s="1"/>
  <c r="K2030" i="1" a="1"/>
  <c r="K2030" i="1" s="1"/>
  <c r="F2018" i="1" a="1"/>
  <c r="F2018" i="1" s="1"/>
  <c r="K2018" i="1" a="1"/>
  <c r="K2018" i="1" s="1"/>
  <c r="I2018" i="1" a="1"/>
  <c r="I2018" i="1" s="1"/>
  <c r="J2018" i="1" a="1"/>
  <c r="J2018" i="1" s="1"/>
  <c r="G2018" i="1" a="1"/>
  <c r="G2018" i="1" s="1"/>
  <c r="H2018" i="1" a="1"/>
  <c r="H2018" i="1" s="1"/>
  <c r="J1704" i="1" a="1"/>
  <c r="J1704" i="1" s="1"/>
  <c r="F1704" i="1" a="1"/>
  <c r="F1704" i="1" s="1"/>
  <c r="H1704" i="1" a="1"/>
  <c r="H1704" i="1" s="1"/>
  <c r="K1703" i="1" a="1"/>
  <c r="K1703" i="1" s="1"/>
  <c r="G1703" i="1" a="1"/>
  <c r="G1703" i="1" s="1"/>
  <c r="I1703" i="1" a="1"/>
  <c r="I1703" i="1" s="1"/>
  <c r="K1704" i="1" a="1"/>
  <c r="K1704" i="1" s="1"/>
  <c r="H1703" i="1" a="1"/>
  <c r="H1703" i="1" s="1"/>
  <c r="I1704" i="1" a="1"/>
  <c r="I1704" i="1" s="1"/>
  <c r="J1703" i="1" a="1"/>
  <c r="J1703" i="1" s="1"/>
  <c r="F1703" i="1" a="1"/>
  <c r="F1703" i="1" s="1"/>
  <c r="G1704" i="1" a="1"/>
  <c r="G1704" i="1" s="1"/>
  <c r="K30" i="1" a="1"/>
  <c r="K30" i="1" s="1"/>
  <c r="G31" i="1" a="1"/>
  <c r="G31" i="1" s="1"/>
  <c r="I31" i="1" a="1"/>
  <c r="I31" i="1" s="1"/>
  <c r="J30" i="1" a="1"/>
  <c r="J30" i="1" s="1"/>
  <c r="F31" i="1" a="1"/>
  <c r="F31" i="1" s="1"/>
  <c r="I30" i="1" a="1"/>
  <c r="I30" i="1" s="1"/>
  <c r="J31" i="1" a="1"/>
  <c r="J31" i="1" s="1"/>
  <c r="K31" i="1" a="1"/>
  <c r="K31" i="1" s="1"/>
  <c r="H31" i="1" a="1"/>
  <c r="H31" i="1" s="1"/>
  <c r="H30" i="1" a="1"/>
  <c r="H30" i="1" s="1"/>
  <c r="G30" i="1" a="1"/>
  <c r="G30" i="1" s="1"/>
  <c r="F30" i="1" a="1"/>
  <c r="F30" i="1" s="1"/>
  <c r="I741" i="1" a="1"/>
  <c r="I741" i="1" s="1"/>
  <c r="G741" i="1" a="1"/>
  <c r="G741" i="1"/>
  <c r="J741" i="1" a="1"/>
  <c r="J741" i="1" s="1"/>
  <c r="K741" i="1" a="1"/>
  <c r="K741" i="1" s="1"/>
  <c r="H741" i="1" a="1"/>
  <c r="H741" i="1" s="1"/>
  <c r="F741" i="1" a="1"/>
  <c r="F741" i="1" s="1"/>
  <c r="G725" i="1" a="1"/>
  <c r="G725" i="1" s="1"/>
  <c r="J738" i="1" a="1"/>
  <c r="J738" i="1" s="1"/>
  <c r="G722" i="1" a="1"/>
  <c r="G722" i="1" s="1"/>
  <c r="J725" i="1" a="1"/>
  <c r="J725" i="1" s="1"/>
  <c r="I725" i="1" a="1"/>
  <c r="I725" i="1" s="1"/>
  <c r="H722" i="1" a="1"/>
  <c r="H722" i="1" s="1"/>
  <c r="I738" i="1" a="1"/>
  <c r="I738" i="1" s="1"/>
  <c r="H725" i="1" a="1"/>
  <c r="H725" i="1" s="1"/>
  <c r="F738" i="1" a="1"/>
  <c r="F738" i="1" s="1"/>
  <c r="F725" i="1" a="1"/>
  <c r="F725" i="1" s="1"/>
  <c r="H738" i="1" a="1"/>
  <c r="H738" i="1" s="1"/>
  <c r="K725" i="1" a="1"/>
  <c r="K725" i="1" s="1"/>
  <c r="G738" i="1" a="1"/>
  <c r="G738" i="1" s="1"/>
  <c r="F722" i="1" a="1"/>
  <c r="F722" i="1" s="1"/>
  <c r="K722" i="1" a="1"/>
  <c r="K722" i="1" s="1"/>
  <c r="K738" i="1" a="1"/>
  <c r="K738" i="1" s="1"/>
  <c r="J722" i="1" a="1"/>
  <c r="J722" i="1" s="1"/>
  <c r="I722" i="1" a="1"/>
  <c r="I722" i="1" s="1"/>
  <c r="F718" i="1" a="1"/>
  <c r="F718" i="1" s="1"/>
  <c r="K717" i="1" a="1"/>
  <c r="K717" i="1" s="1"/>
  <c r="H717" i="1" a="1"/>
  <c r="H717" i="1" s="1"/>
  <c r="K716" i="1" a="1"/>
  <c r="K716" i="1" s="1"/>
  <c r="I716" i="1" a="1"/>
  <c r="I716" i="1" s="1"/>
  <c r="G714" i="1" a="1"/>
  <c r="G714" i="1" s="1"/>
  <c r="F707" i="1" a="1"/>
  <c r="F707" i="1" s="1"/>
  <c r="F716" i="1" a="1"/>
  <c r="F716" i="1" s="1"/>
  <c r="K714" i="1" a="1"/>
  <c r="K714" i="1" s="1"/>
  <c r="F709" i="1" a="1"/>
  <c r="F709" i="1" s="1"/>
  <c r="G707" i="1" a="1"/>
  <c r="G707" i="1" s="1"/>
  <c r="K694" i="1" a="1"/>
  <c r="K694" i="1" s="1"/>
  <c r="F695" i="1" a="1"/>
  <c r="F695" i="1" s="1"/>
  <c r="J714" i="1" a="1"/>
  <c r="J714" i="1" s="1"/>
  <c r="G695" i="1" a="1"/>
  <c r="G695" i="1" s="1"/>
  <c r="K707" i="1" a="1"/>
  <c r="K707" i="1"/>
  <c r="J709" i="1" a="1"/>
  <c r="J709" i="1" s="1"/>
  <c r="H695" i="1" a="1"/>
  <c r="H695" i="1" s="1"/>
  <c r="G718" i="1" a="1"/>
  <c r="G718" i="1" s="1"/>
  <c r="J716" i="1" a="1"/>
  <c r="J716" i="1" s="1"/>
  <c r="I718" i="1" a="1"/>
  <c r="I718" i="1" s="1"/>
  <c r="J717" i="1" a="1"/>
  <c r="J717" i="1" s="1"/>
  <c r="F714" i="1" a="1"/>
  <c r="F714" i="1" s="1"/>
  <c r="I717" i="1" a="1"/>
  <c r="I717" i="1" s="1"/>
  <c r="G717" i="1" a="1"/>
  <c r="G717" i="1" s="1"/>
  <c r="F717" i="1" a="1"/>
  <c r="F717" i="1" s="1"/>
  <c r="H716" i="1" a="1"/>
  <c r="H716" i="1" s="1"/>
  <c r="G709" i="1" a="1"/>
  <c r="G709" i="1" s="1"/>
  <c r="G716" i="1" a="1"/>
  <c r="G716" i="1" s="1"/>
  <c r="I707" i="1" a="1"/>
  <c r="I707" i="1" s="1"/>
  <c r="I694" i="1" a="1"/>
  <c r="I694" i="1" s="1"/>
  <c r="I714" i="1" a="1"/>
  <c r="I714" i="1"/>
  <c r="H714" i="1" a="1"/>
  <c r="H714" i="1" s="1"/>
  <c r="K709" i="1" a="1"/>
  <c r="K709" i="1"/>
  <c r="I709" i="1" a="1"/>
  <c r="I709" i="1" s="1"/>
  <c r="J694" i="1" a="1"/>
  <c r="J694" i="1" s="1"/>
  <c r="J707" i="1" a="1"/>
  <c r="J707" i="1"/>
  <c r="H707" i="1" a="1"/>
  <c r="H707" i="1" s="1"/>
  <c r="K695" i="1" a="1"/>
  <c r="K695" i="1" s="1"/>
  <c r="I695" i="1" a="1"/>
  <c r="I695" i="1" s="1"/>
  <c r="J695" i="1" a="1"/>
  <c r="J695" i="1" s="1"/>
  <c r="H709" i="1" a="1"/>
  <c r="H709" i="1" s="1"/>
  <c r="K718" i="1" a="1"/>
  <c r="K718" i="1" s="1"/>
  <c r="J718" i="1" a="1"/>
  <c r="J718" i="1" s="1"/>
  <c r="J724" i="1" s="1" a="1"/>
  <c r="J724" i="1" s="1"/>
  <c r="J726" i="1" s="1" a="1"/>
  <c r="J726" i="1" s="1"/>
  <c r="H718" i="1" a="1"/>
  <c r="H718" i="1" s="1"/>
  <c r="J681" i="1" a="1"/>
  <c r="J681" i="1" s="1"/>
  <c r="F680" i="1" a="1"/>
  <c r="F680" i="1" s="1"/>
  <c r="I679" i="1" a="1"/>
  <c r="I679" i="1" s="1"/>
  <c r="K686" i="1" a="1"/>
  <c r="K686" i="1" s="1"/>
  <c r="F685" i="1" a="1"/>
  <c r="F685" i="1" s="1"/>
  <c r="J686" i="1" a="1"/>
  <c r="J686" i="1" s="1"/>
  <c r="H686" i="1" a="1"/>
  <c r="H686" i="1" s="1"/>
  <c r="J685" i="1" a="1"/>
  <c r="J685" i="1" s="1"/>
  <c r="F683" i="1" a="1"/>
  <c r="F683" i="1" s="1"/>
  <c r="I685" i="1" a="1"/>
  <c r="I685" i="1" s="1"/>
  <c r="J683" i="1" a="1"/>
  <c r="J683" i="1" s="1"/>
  <c r="I683" i="1" a="1"/>
  <c r="I683" i="1" s="1"/>
  <c r="I680" i="1" a="1"/>
  <c r="I680" i="1" s="1"/>
  <c r="H681" i="1" a="1"/>
  <c r="H681" i="1" s="1"/>
  <c r="J679" i="1" a="1"/>
  <c r="J679" i="1" s="1"/>
  <c r="J680" i="1" a="1"/>
  <c r="J680" i="1" s="1"/>
  <c r="F694" i="1" a="1"/>
  <c r="F694" i="1" s="1"/>
  <c r="F681" i="1" a="1"/>
  <c r="F681" i="1" s="1"/>
  <c r="K680" i="1" a="1"/>
  <c r="K680" i="1" s="1"/>
  <c r="I686" i="1" a="1"/>
  <c r="I686" i="1" s="1"/>
  <c r="F686" i="1" a="1"/>
  <c r="F686" i="1" s="1"/>
  <c r="G681" i="1" a="1"/>
  <c r="G681" i="1" s="1"/>
  <c r="K685" i="1" a="1"/>
  <c r="K685" i="1" s="1"/>
  <c r="H685" i="1" a="1"/>
  <c r="H685" i="1" s="1"/>
  <c r="K683" i="1" a="1"/>
  <c r="K683" i="1" s="1"/>
  <c r="F679" i="1" a="1"/>
  <c r="F679" i="1" s="1"/>
  <c r="H683" i="1" a="1"/>
  <c r="H683" i="1" s="1"/>
  <c r="G679" i="1" a="1"/>
  <c r="G679" i="1" s="1"/>
  <c r="I681" i="1" a="1"/>
  <c r="I681" i="1" s="1"/>
  <c r="H680" i="1" a="1"/>
  <c r="H680" i="1" s="1"/>
  <c r="K679" i="1" a="1"/>
  <c r="K679" i="1" s="1"/>
  <c r="H679" i="1" a="1"/>
  <c r="H679" i="1" s="1"/>
  <c r="G685" i="1" a="1"/>
  <c r="G685" i="1" s="1"/>
  <c r="G680" i="1" a="1"/>
  <c r="G680" i="1" s="1"/>
  <c r="H694" i="1" a="1"/>
  <c r="H694" i="1" s="1"/>
  <c r="G694" i="1" a="1"/>
  <c r="G694" i="1" s="1"/>
  <c r="G686" i="1" a="1"/>
  <c r="G686" i="1" s="1"/>
  <c r="G683" i="1" a="1"/>
  <c r="G683" i="1" s="1"/>
  <c r="K681" i="1" a="1"/>
  <c r="K681" i="1" s="1"/>
  <c r="F651" i="1" a="1"/>
  <c r="F651" i="1" s="1"/>
  <c r="J648" i="1" a="1"/>
  <c r="J648" i="1" s="1"/>
  <c r="K650" i="1" a="1"/>
  <c r="K650" i="1" s="1"/>
  <c r="H648" i="1" a="1"/>
  <c r="H648" i="1" s="1"/>
  <c r="F650" i="1" a="1"/>
  <c r="F650" i="1" s="1"/>
  <c r="G648" i="1" a="1"/>
  <c r="G648" i="1" s="1"/>
  <c r="J663" i="1" a="1"/>
  <c r="J663" i="1" s="1"/>
  <c r="I650" i="1" a="1"/>
  <c r="I650" i="1"/>
  <c r="K663" i="1" a="1"/>
  <c r="K663" i="1" s="1"/>
  <c r="G650" i="1" a="1"/>
  <c r="G650" i="1"/>
  <c r="I663" i="1" a="1"/>
  <c r="I663" i="1" s="1"/>
  <c r="K651" i="1" a="1"/>
  <c r="K651" i="1"/>
  <c r="G651" i="1" a="1"/>
  <c r="G651" i="1" s="1"/>
  <c r="H663" i="1" a="1"/>
  <c r="H663" i="1" s="1"/>
  <c r="H664" i="1" a="1"/>
  <c r="H664" i="1" s="1"/>
  <c r="J662" i="1" a="1"/>
  <c r="J662" i="1" s="1"/>
  <c r="F662" i="1" a="1"/>
  <c r="F662" i="1" s="1"/>
  <c r="I651" i="1" a="1"/>
  <c r="I651" i="1" s="1"/>
  <c r="H651" i="1" a="1"/>
  <c r="H651" i="1" s="1"/>
  <c r="I648" i="1" a="1"/>
  <c r="I648" i="1" s="1"/>
  <c r="J664" i="1" a="1"/>
  <c r="J664" i="1" s="1"/>
  <c r="G664" i="1" a="1"/>
  <c r="G664" i="1" s="1"/>
  <c r="F648" i="1" a="1"/>
  <c r="F648" i="1" s="1"/>
  <c r="K662" i="1" a="1"/>
  <c r="K662" i="1" s="1"/>
  <c r="G663" i="1" a="1"/>
  <c r="G663" i="1" s="1"/>
  <c r="J650" i="1" a="1"/>
  <c r="J650" i="1" s="1"/>
  <c r="G662" i="1" a="1"/>
  <c r="G662" i="1" s="1"/>
  <c r="K648" i="1" a="1"/>
  <c r="K648" i="1"/>
  <c r="I662" i="1" a="1"/>
  <c r="I662" i="1" s="1"/>
  <c r="H662" i="1" a="1"/>
  <c r="H662" i="1" s="1"/>
  <c r="J647" i="1" a="1"/>
  <c r="J647" i="1" s="1"/>
  <c r="H650" i="1" a="1"/>
  <c r="H650" i="1" s="1"/>
  <c r="K647" i="1" a="1"/>
  <c r="K647" i="1" s="1"/>
  <c r="J651" i="1" a="1"/>
  <c r="J651" i="1" s="1"/>
  <c r="K664" i="1" a="1"/>
  <c r="K664" i="1" s="1"/>
  <c r="F664" i="1" a="1"/>
  <c r="F664" i="1" s="1"/>
  <c r="I664" i="1" a="1"/>
  <c r="I664" i="1" s="1"/>
  <c r="F663" i="1" a="1"/>
  <c r="F663" i="1" s="1"/>
  <c r="I638" i="1" a="1"/>
  <c r="I638" i="1" s="1"/>
  <c r="H641" i="1" a="1"/>
  <c r="H641" i="1" s="1"/>
  <c r="I647" i="1" a="1"/>
  <c r="I647" i="1" s="1"/>
  <c r="H647" i="1" a="1"/>
  <c r="H647" i="1" s="1"/>
  <c r="G647" i="1" a="1"/>
  <c r="G647" i="1" s="1"/>
  <c r="I645" i="1" a="1"/>
  <c r="I645" i="1" s="1"/>
  <c r="J643" i="1" a="1"/>
  <c r="J643" i="1" s="1"/>
  <c r="J645" i="1" a="1"/>
  <c r="J645" i="1" s="1"/>
  <c r="F643" i="1" a="1"/>
  <c r="F643" i="1" s="1"/>
  <c r="H645" i="1" a="1"/>
  <c r="H645" i="1" s="1"/>
  <c r="K641" i="1" a="1"/>
  <c r="K641" i="1" s="1"/>
  <c r="F638" i="1" a="1"/>
  <c r="F638" i="1" s="1"/>
  <c r="H637" i="1" a="1"/>
  <c r="H637" i="1" s="1"/>
  <c r="K637" i="1" a="1"/>
  <c r="K637" i="1" s="1"/>
  <c r="F647" i="1" a="1"/>
  <c r="F647" i="1" s="1"/>
  <c r="G646" i="1" a="1"/>
  <c r="G646" i="1" s="1"/>
  <c r="F646" i="1" a="1"/>
  <c r="F646" i="1" s="1"/>
  <c r="I640" i="1" a="1"/>
  <c r="I640" i="1" s="1"/>
  <c r="J637" i="1" a="1"/>
  <c r="J637" i="1" s="1"/>
  <c r="K640" i="1" a="1"/>
  <c r="K640" i="1" s="1"/>
  <c r="I636" i="1" a="1"/>
  <c r="I636" i="1" s="1"/>
  <c r="J646" i="1" a="1"/>
  <c r="J646" i="1" s="1"/>
  <c r="F640" i="1" a="1"/>
  <c r="F640" i="1" s="1"/>
  <c r="H638" i="1" a="1"/>
  <c r="H638" i="1" s="1"/>
  <c r="G637" i="1" a="1"/>
  <c r="G637" i="1" s="1"/>
  <c r="F637" i="1" a="1"/>
  <c r="F637" i="1" s="1"/>
  <c r="K646" i="1" a="1"/>
  <c r="K646" i="1" s="1"/>
  <c r="I646" i="1" a="1"/>
  <c r="I646" i="1" s="1"/>
  <c r="H646" i="1" a="1"/>
  <c r="H646" i="1"/>
  <c r="J641" i="1" a="1"/>
  <c r="J641" i="1" s="1"/>
  <c r="K645" i="1" a="1"/>
  <c r="K645" i="1"/>
  <c r="K636" i="1" a="1"/>
  <c r="K636" i="1"/>
  <c r="F641" i="1" a="1"/>
  <c r="F641" i="1"/>
  <c r="F645" i="1" a="1"/>
  <c r="F645" i="1"/>
  <c r="J636" i="1" a="1"/>
  <c r="J636" i="1"/>
  <c r="I637" i="1" a="1"/>
  <c r="I637" i="1"/>
  <c r="G640" i="1" a="1"/>
  <c r="G640" i="1"/>
  <c r="G645" i="1" a="1"/>
  <c r="G645" i="1" s="1"/>
  <c r="J638" i="1" a="1"/>
  <c r="J638" i="1" s="1"/>
  <c r="H640" i="1" a="1"/>
  <c r="H640" i="1"/>
  <c r="K643" i="1" a="1"/>
  <c r="K643" i="1" s="1"/>
  <c r="H643" i="1" a="1"/>
  <c r="H643" i="1" s="1"/>
  <c r="G643" i="1" a="1"/>
  <c r="G643" i="1" s="1"/>
  <c r="I643" i="1" a="1"/>
  <c r="I643" i="1" s="1"/>
  <c r="G638" i="1" a="1"/>
  <c r="G638" i="1" s="1"/>
  <c r="G641" i="1" a="1"/>
  <c r="G641" i="1" s="1"/>
  <c r="K638" i="1" a="1"/>
  <c r="K638" i="1" s="1"/>
  <c r="I641" i="1" a="1"/>
  <c r="I641" i="1" s="1"/>
  <c r="J640" i="1" a="1"/>
  <c r="J640" i="1"/>
  <c r="K633" i="1" a="1"/>
  <c r="K633" i="1"/>
  <c r="F627" i="1" a="1"/>
  <c r="F627" i="1"/>
  <c r="G633" i="1" a="1"/>
  <c r="G633" i="1"/>
  <c r="J625" i="1" a="1"/>
  <c r="J625" i="1"/>
  <c r="I633" i="1" a="1"/>
  <c r="I633" i="1"/>
  <c r="F628" i="1" a="1"/>
  <c r="F628" i="1"/>
  <c r="I631" i="1" a="1"/>
  <c r="I631" i="1"/>
  <c r="G627" i="1" a="1"/>
  <c r="G627" i="1"/>
  <c r="K628" i="1" a="1"/>
  <c r="K628" i="1" s="1"/>
  <c r="F625" i="1" a="1"/>
  <c r="F625" i="1" s="1"/>
  <c r="J628" i="1" a="1"/>
  <c r="J628" i="1" s="1"/>
  <c r="I628" i="1" a="1"/>
  <c r="I628" i="1"/>
  <c r="G628" i="1" a="1"/>
  <c r="G628" i="1" s="1"/>
  <c r="H627" i="1" a="1"/>
  <c r="H627" i="1" s="1"/>
  <c r="G626" i="1" a="1"/>
  <c r="G626" i="1" s="1"/>
  <c r="G636" i="1" a="1"/>
  <c r="G636" i="1" s="1"/>
  <c r="I625" i="1" a="1"/>
  <c r="I625" i="1" s="1"/>
  <c r="K626" i="1" a="1"/>
  <c r="K626" i="1" s="1"/>
  <c r="J635" i="1" a="1"/>
  <c r="J635" i="1" s="1"/>
  <c r="H635" i="1" a="1"/>
  <c r="H635" i="1"/>
  <c r="H626" i="1" a="1"/>
  <c r="H626" i="1"/>
  <c r="K635" i="1" a="1"/>
  <c r="K635" i="1"/>
  <c r="I635" i="1" a="1"/>
  <c r="I635" i="1" s="1"/>
  <c r="G635" i="1" a="1"/>
  <c r="G635" i="1"/>
  <c r="F626" i="1" a="1"/>
  <c r="F626" i="1"/>
  <c r="G625" i="1" a="1"/>
  <c r="G625" i="1"/>
  <c r="I627" i="1" a="1"/>
  <c r="I627" i="1"/>
  <c r="J633" i="1" a="1"/>
  <c r="J633" i="1"/>
  <c r="H633" i="1" a="1"/>
  <c r="H633" i="1" s="1"/>
  <c r="F633" i="1" a="1"/>
  <c r="F633" i="1" s="1"/>
  <c r="G631" i="1" a="1"/>
  <c r="G631" i="1" s="1"/>
  <c r="K631" i="1" a="1"/>
  <c r="K631" i="1" s="1"/>
  <c r="G630" i="1" a="1"/>
  <c r="G630" i="1"/>
  <c r="H630" i="1" a="1"/>
  <c r="H630" i="1" s="1"/>
  <c r="K627" i="1" a="1"/>
  <c r="K627" i="1" s="1"/>
  <c r="I626" i="1" a="1"/>
  <c r="I626" i="1" s="1"/>
  <c r="H631" i="1" a="1"/>
  <c r="H631" i="1" s="1"/>
  <c r="K630" i="1" a="1"/>
  <c r="K630" i="1" s="1"/>
  <c r="F630" i="1" a="1"/>
  <c r="F630" i="1" s="1"/>
  <c r="J626" i="1" a="1"/>
  <c r="J626" i="1"/>
  <c r="J627" i="1" a="1"/>
  <c r="J627" i="1"/>
  <c r="K625" i="1" a="1"/>
  <c r="K625" i="1" s="1"/>
  <c r="K623" i="1" a="1"/>
  <c r="K623" i="1"/>
  <c r="H628" i="1" a="1"/>
  <c r="H628" i="1" s="1"/>
  <c r="J631" i="1" a="1"/>
  <c r="J631" i="1"/>
  <c r="F631" i="1" a="1"/>
  <c r="F631" i="1"/>
  <c r="J630" i="1" a="1"/>
  <c r="J630" i="1"/>
  <c r="H625" i="1" a="1"/>
  <c r="H625" i="1"/>
  <c r="I630" i="1" a="1"/>
  <c r="I630" i="1" s="1"/>
  <c r="H636" i="1" a="1"/>
  <c r="H636" i="1" s="1"/>
  <c r="F636" i="1" a="1"/>
  <c r="F636" i="1" s="1"/>
  <c r="F635" i="1" a="1"/>
  <c r="F635" i="1" s="1"/>
  <c r="J620" i="1" a="1"/>
  <c r="J620" i="1" s="1"/>
  <c r="H620" i="1" a="1"/>
  <c r="H620" i="1" s="1"/>
  <c r="F620" i="1" a="1"/>
  <c r="F620" i="1" s="1"/>
  <c r="K618" i="1" a="1"/>
  <c r="K618" i="1" s="1"/>
  <c r="I607" i="1" a="1"/>
  <c r="I607" i="1" s="1"/>
  <c r="G617" i="1" a="1"/>
  <c r="G617" i="1" s="1"/>
  <c r="J616" i="1" a="1"/>
  <c r="J616" i="1" s="1"/>
  <c r="F616" i="1" a="1"/>
  <c r="F616" i="1"/>
  <c r="G608" i="1" a="1"/>
  <c r="G608" i="1"/>
  <c r="J623" i="1" a="1"/>
  <c r="J623" i="1"/>
  <c r="G620" i="1" a="1"/>
  <c r="G620" i="1" s="1"/>
  <c r="I615" i="1" a="1"/>
  <c r="I615" i="1"/>
  <c r="J608" i="1" a="1"/>
  <c r="J608" i="1" s="1"/>
  <c r="I621" i="1" a="1"/>
  <c r="I621" i="1"/>
  <c r="F608" i="1" a="1"/>
  <c r="F608" i="1"/>
  <c r="J621" i="1" a="1"/>
  <c r="J621" i="1"/>
  <c r="F615" i="1" a="1"/>
  <c r="F615" i="1" s="1"/>
  <c r="H617" i="1" a="1"/>
  <c r="H617" i="1" s="1"/>
  <c r="I623" i="1" a="1"/>
  <c r="I623" i="1" s="1"/>
  <c r="F618" i="1" a="1"/>
  <c r="F618" i="1" s="1"/>
  <c r="H623" i="1" a="1"/>
  <c r="H623" i="1" s="1"/>
  <c r="H621" i="1" a="1"/>
  <c r="H621" i="1" s="1"/>
  <c r="G618" i="1" a="1"/>
  <c r="G618" i="1"/>
  <c r="G623" i="1" a="1"/>
  <c r="G623" i="1" s="1"/>
  <c r="J607" i="1" a="1"/>
  <c r="J607" i="1"/>
  <c r="I618" i="1" a="1"/>
  <c r="I618" i="1" s="1"/>
  <c r="K607" i="1" a="1"/>
  <c r="K607" i="1" s="1"/>
  <c r="I617" i="1" a="1"/>
  <c r="I617" i="1"/>
  <c r="K615" i="1" a="1"/>
  <c r="K615" i="1"/>
  <c r="H608" i="1" a="1"/>
  <c r="H608" i="1"/>
  <c r="I620" i="1" a="1"/>
  <c r="I620" i="1"/>
  <c r="G615" i="1" a="1"/>
  <c r="G615" i="1"/>
  <c r="F623" i="1" a="1"/>
  <c r="F623" i="1"/>
  <c r="J618" i="1" a="1"/>
  <c r="J618" i="1" s="1"/>
  <c r="F621" i="1" a="1"/>
  <c r="F621" i="1"/>
  <c r="G616" i="1" a="1"/>
  <c r="G616" i="1"/>
  <c r="I608" i="1" a="1"/>
  <c r="I608" i="1" s="1"/>
  <c r="K617" i="1" a="1"/>
  <c r="K617" i="1"/>
  <c r="K621" i="1" a="1"/>
  <c r="K621" i="1" s="1"/>
  <c r="J617" i="1" a="1"/>
  <c r="J617" i="1" s="1"/>
  <c r="G621" i="1" a="1"/>
  <c r="G621" i="1" s="1"/>
  <c r="H618" i="1" a="1"/>
  <c r="H618" i="1"/>
  <c r="F617" i="1" a="1"/>
  <c r="F617" i="1" s="1"/>
  <c r="H615" i="1" a="1"/>
  <c r="H615" i="1"/>
  <c r="K616" i="1" a="1"/>
  <c r="K616" i="1" s="1"/>
  <c r="H616" i="1" a="1"/>
  <c r="H616" i="1" s="1"/>
  <c r="I616" i="1" a="1"/>
  <c r="I616" i="1" s="1"/>
  <c r="J615" i="1" a="1"/>
  <c r="J615" i="1"/>
  <c r="K608" i="1" a="1"/>
  <c r="K608" i="1" s="1"/>
  <c r="K620" i="1" a="1"/>
  <c r="K620" i="1"/>
  <c r="H601" i="1" a="1"/>
  <c r="H601" i="1"/>
  <c r="J600" i="1" a="1"/>
  <c r="J600" i="1"/>
  <c r="F600" i="1" a="1"/>
  <c r="F600" i="1" s="1"/>
  <c r="H593" i="1" a="1"/>
  <c r="H593" i="1"/>
  <c r="F591" i="1" a="1"/>
  <c r="F591" i="1" s="1"/>
  <c r="J590" i="1" a="1"/>
  <c r="J590" i="1"/>
  <c r="H600" i="1" a="1"/>
  <c r="H600" i="1" s="1"/>
  <c r="F604" i="1" a="1"/>
  <c r="F604" i="1" s="1"/>
  <c r="G600" i="1" a="1"/>
  <c r="G600" i="1"/>
  <c r="G591" i="1" a="1"/>
  <c r="G591" i="1" s="1"/>
  <c r="K591" i="1" a="1"/>
  <c r="K591" i="1" s="1"/>
  <c r="K590" i="1" a="1"/>
  <c r="K590" i="1" s="1"/>
  <c r="I593" i="1" a="1"/>
  <c r="I593" i="1" s="1"/>
  <c r="H607" i="1" a="1"/>
  <c r="H607" i="1" s="1"/>
  <c r="G607" i="1" a="1"/>
  <c r="G607" i="1" s="1"/>
  <c r="H594" i="1" a="1"/>
  <c r="H594" i="1" s="1"/>
  <c r="F601" i="1" a="1"/>
  <c r="F601" i="1" s="1"/>
  <c r="I601" i="1" a="1"/>
  <c r="I601" i="1" s="1"/>
  <c r="K594" i="1" a="1"/>
  <c r="K594" i="1"/>
  <c r="F607" i="1" a="1"/>
  <c r="F607" i="1" s="1"/>
  <c r="F593" i="1" a="1"/>
  <c r="F593" i="1"/>
  <c r="K605" i="1" a="1"/>
  <c r="K605" i="1"/>
  <c r="F590" i="1" a="1"/>
  <c r="F590" i="1"/>
  <c r="J593" i="1" a="1"/>
  <c r="J593" i="1"/>
  <c r="G604" i="1" a="1"/>
  <c r="G604" i="1"/>
  <c r="I600" i="1" a="1"/>
  <c r="I600" i="1" s="1"/>
  <c r="J605" i="1" a="1"/>
  <c r="J605" i="1" s="1"/>
  <c r="H605" i="1" a="1"/>
  <c r="H605" i="1"/>
  <c r="I605" i="1" a="1"/>
  <c r="I605" i="1" s="1"/>
  <c r="G605" i="1" a="1"/>
  <c r="G605" i="1" s="1"/>
  <c r="F594" i="1" a="1"/>
  <c r="F594" i="1" s="1"/>
  <c r="G590" i="1" a="1"/>
  <c r="G590" i="1" s="1"/>
  <c r="I590" i="1" a="1"/>
  <c r="I590" i="1" s="1"/>
  <c r="F605" i="1" a="1"/>
  <c r="F605" i="1"/>
  <c r="K600" i="1" a="1"/>
  <c r="K600" i="1" s="1"/>
  <c r="I591" i="1" a="1"/>
  <c r="I591" i="1"/>
  <c r="K593" i="1" a="1"/>
  <c r="K593" i="1" s="1"/>
  <c r="G594" i="1" a="1"/>
  <c r="G594" i="1"/>
  <c r="J591" i="1" a="1"/>
  <c r="J591" i="1" s="1"/>
  <c r="K587" i="1" a="1"/>
  <c r="K587" i="1"/>
  <c r="H590" i="1" a="1"/>
  <c r="H590" i="1" s="1"/>
  <c r="J594" i="1" a="1"/>
  <c r="J594" i="1" s="1"/>
  <c r="K604" i="1" a="1"/>
  <c r="K604" i="1"/>
  <c r="G601" i="1" a="1"/>
  <c r="G601" i="1"/>
  <c r="H604" i="1" a="1"/>
  <c r="H604" i="1"/>
  <c r="G593" i="1" a="1"/>
  <c r="G593" i="1"/>
  <c r="H591" i="1" a="1"/>
  <c r="H591" i="1" s="1"/>
  <c r="K601" i="1" a="1"/>
  <c r="K601" i="1" s="1"/>
  <c r="J601" i="1" a="1"/>
  <c r="J601" i="1"/>
  <c r="J604" i="1" a="1"/>
  <c r="J604" i="1" s="1"/>
  <c r="I594" i="1" a="1"/>
  <c r="I594" i="1"/>
  <c r="I604" i="1" a="1"/>
  <c r="I604" i="1"/>
  <c r="J587" i="1" a="1"/>
  <c r="J587" i="1" s="1"/>
  <c r="H586" i="1" a="1"/>
  <c r="H586" i="1" s="1"/>
  <c r="G587" i="1" a="1"/>
  <c r="G587" i="1" s="1"/>
  <c r="G586" i="1" a="1"/>
  <c r="G586" i="1" s="1"/>
  <c r="F586" i="1" a="1"/>
  <c r="F586" i="1" s="1"/>
  <c r="K583" i="1" a="1"/>
  <c r="K583" i="1" s="1"/>
  <c r="F583" i="1" a="1"/>
  <c r="F583" i="1" s="1"/>
  <c r="H583" i="1" a="1"/>
  <c r="H583" i="1" s="1"/>
  <c r="K586" i="1" a="1"/>
  <c r="K586" i="1" s="1"/>
  <c r="I582" i="1" a="1"/>
  <c r="I582" i="1" s="1"/>
  <c r="I587" i="1" a="1"/>
  <c r="I587" i="1" s="1"/>
  <c r="F587" i="1" a="1"/>
  <c r="F587" i="1" s="1"/>
  <c r="J586" i="1" a="1"/>
  <c r="J586" i="1" s="1"/>
  <c r="J583" i="1" a="1"/>
  <c r="J583" i="1" s="1"/>
  <c r="I583" i="1" a="1"/>
  <c r="I583" i="1" s="1"/>
  <c r="K582" i="1" a="1"/>
  <c r="K582" i="1" s="1"/>
  <c r="G582" i="1" a="1"/>
  <c r="G582" i="1" s="1"/>
  <c r="F582" i="1" a="1"/>
  <c r="F582" i="1" s="1"/>
  <c r="H587" i="1" a="1"/>
  <c r="H587" i="1" s="1"/>
  <c r="H582" i="1" a="1"/>
  <c r="H582" i="1" s="1"/>
  <c r="I586" i="1" a="1"/>
  <c r="I586" i="1" s="1"/>
  <c r="G583" i="1" a="1"/>
  <c r="G583" i="1" s="1"/>
  <c r="J582" i="1" a="1"/>
  <c r="J582" i="1" s="1"/>
  <c r="K19" i="1"/>
  <c r="K18" i="1" s="1"/>
  <c r="J19" i="1"/>
  <c r="J18" i="1" s="1"/>
  <c r="I19" i="1"/>
  <c r="H19" i="1"/>
  <c r="G19" i="1"/>
  <c r="G18" i="1" s="1"/>
  <c r="F19" i="1"/>
  <c r="I18" i="1"/>
  <c r="H18" i="1"/>
  <c r="F18" i="1"/>
  <c r="J282" i="1" a="1"/>
  <c r="J282" i="1" s="1"/>
  <c r="J281" i="1" s="1"/>
  <c r="J380" i="1" s="1"/>
  <c r="J511" i="1" s="1"/>
  <c r="I282" i="1" a="1"/>
  <c r="I282" i="1" s="1"/>
  <c r="G273" i="1" a="1"/>
  <c r="G273" i="1" s="1"/>
  <c r="G272" i="1" s="1"/>
  <c r="F282" i="1" a="1"/>
  <c r="F282" i="1" s="1"/>
  <c r="F281" i="1" s="1"/>
  <c r="J273" i="1" a="1"/>
  <c r="J273" i="1" s="1"/>
  <c r="J272" i="1" s="1"/>
  <c r="K240" i="1" a="1"/>
  <c r="K240" i="1" s="1"/>
  <c r="K239" i="1" s="1"/>
  <c r="K314" i="1" s="1"/>
  <c r="K469" i="1" s="1"/>
  <c r="H240" i="1" a="1"/>
  <c r="H240" i="1" s="1"/>
  <c r="H282" i="1" a="1"/>
  <c r="H282" i="1" s="1"/>
  <c r="G282" i="1" a="1"/>
  <c r="G282" i="1" s="1"/>
  <c r="K273" i="1" a="1"/>
  <c r="K273" i="1" s="1"/>
  <c r="I240" i="1" a="1"/>
  <c r="I240" i="1" s="1"/>
  <c r="I239" i="1" s="1"/>
  <c r="I314" i="1" s="1"/>
  <c r="I469" i="1" s="1"/>
  <c r="H273" i="1" a="1"/>
  <c r="H273" i="1" s="1"/>
  <c r="H272" i="1" s="1"/>
  <c r="H361" i="1" s="1"/>
  <c r="H502" i="1" s="1"/>
  <c r="I273" i="1" a="1"/>
  <c r="I273" i="1" s="1"/>
  <c r="I272" i="1" s="1"/>
  <c r="I361" i="1" s="1"/>
  <c r="I502" i="1" s="1"/>
  <c r="J240" i="1" a="1"/>
  <c r="J240" i="1" s="1"/>
  <c r="J239" i="1" s="1"/>
  <c r="K282" i="1" a="1"/>
  <c r="K282" i="1" s="1"/>
  <c r="K281" i="1" s="1"/>
  <c r="K380" i="1" s="1"/>
  <c r="K511" i="1" s="1"/>
  <c r="F240" i="1" a="1"/>
  <c r="F240" i="1" s="1"/>
  <c r="F273" i="1" a="1"/>
  <c r="F273" i="1" s="1"/>
  <c r="F272" i="1" s="1"/>
  <c r="F361" i="1" s="1"/>
  <c r="F502" i="1" s="1"/>
  <c r="G240" i="1" a="1"/>
  <c r="G240" i="1" s="1"/>
  <c r="G239" i="1" s="1"/>
  <c r="G314" i="1" s="1"/>
  <c r="G469" i="1" s="1"/>
  <c r="I139" i="1" a="1"/>
  <c r="I139" i="1" s="1"/>
  <c r="H139" i="1" a="1"/>
  <c r="H139" i="1" s="1"/>
  <c r="J139" i="1" a="1"/>
  <c r="J139" i="1" s="1"/>
  <c r="G197" i="1" a="1"/>
  <c r="G197" i="1" s="1"/>
  <c r="G196" i="1" s="1"/>
  <c r="K139" i="1" a="1"/>
  <c r="K139" i="1"/>
  <c r="H197" i="1" a="1"/>
  <c r="H197" i="1" s="1"/>
  <c r="H196" i="1" s="1"/>
  <c r="G139" i="1" a="1"/>
  <c r="G139" i="1" s="1"/>
  <c r="F139" i="1" a="1"/>
  <c r="F139" i="1" s="1"/>
  <c r="J197" i="1" a="1"/>
  <c r="J197" i="1" s="1"/>
  <c r="F197" i="1" a="1"/>
  <c r="F197" i="1" s="1"/>
  <c r="F196" i="1" s="1"/>
  <c r="K197" i="1" a="1"/>
  <c r="K197" i="1" s="1"/>
  <c r="I197" i="1" a="1"/>
  <c r="I197" i="1" s="1"/>
  <c r="I196" i="1" s="1"/>
  <c r="I359" i="1" s="1"/>
  <c r="I426" i="1" s="1"/>
  <c r="J138" i="1" a="1"/>
  <c r="J138" i="1" s="1"/>
  <c r="I138" i="1" a="1"/>
  <c r="I138" i="1" s="1"/>
  <c r="K138" i="1" a="1"/>
  <c r="K138" i="1" s="1"/>
  <c r="H138" i="1" a="1"/>
  <c r="H138" i="1" s="1"/>
  <c r="G138" i="1" a="1"/>
  <c r="G138" i="1" s="1"/>
  <c r="G137" i="1" a="1"/>
  <c r="G137" i="1" s="1"/>
  <c r="K60" i="1" a="1"/>
  <c r="K60" i="1" s="1"/>
  <c r="F137" i="1" a="1"/>
  <c r="F137" i="1" s="1"/>
  <c r="J136" i="1" a="1"/>
  <c r="J136" i="1" s="1"/>
  <c r="H136" i="1" a="1"/>
  <c r="H136" i="1" s="1"/>
  <c r="I137" i="1" a="1"/>
  <c r="I137" i="1" s="1"/>
  <c r="K136" i="1" a="1"/>
  <c r="K136" i="1" s="1"/>
  <c r="I60" i="1" a="1"/>
  <c r="I60" i="1" s="1"/>
  <c r="I136" i="1" a="1"/>
  <c r="I136" i="1" s="1"/>
  <c r="G136" i="1" a="1"/>
  <c r="G136" i="1" s="1"/>
  <c r="J60" i="1" a="1"/>
  <c r="J60" i="1" s="1"/>
  <c r="F138" i="1" a="1"/>
  <c r="F138" i="1"/>
  <c r="K137" i="1" a="1"/>
  <c r="K137" i="1" s="1"/>
  <c r="J137" i="1" a="1"/>
  <c r="J137" i="1" s="1"/>
  <c r="F136" i="1" a="1"/>
  <c r="F136" i="1" s="1"/>
  <c r="J53" i="1" a="1"/>
  <c r="J53" i="1" s="1"/>
  <c r="F59" i="1" a="1"/>
  <c r="F59" i="1" s="1"/>
  <c r="H57" i="1" a="1"/>
  <c r="H57" i="1" s="1"/>
  <c r="H51" i="1" a="1"/>
  <c r="H51" i="1" s="1"/>
  <c r="J51" i="1" a="1"/>
  <c r="J51" i="1" s="1"/>
  <c r="K59" i="1" a="1"/>
  <c r="K59" i="1" s="1"/>
  <c r="H59" i="1" a="1"/>
  <c r="H59" i="1" s="1"/>
  <c r="K52" i="1" a="1"/>
  <c r="K52" i="1" s="1"/>
  <c r="K58" i="1" a="1"/>
  <c r="K58" i="1" s="1"/>
  <c r="I58" i="1" a="1"/>
  <c r="I58" i="1" s="1"/>
  <c r="I50" i="1" a="1"/>
  <c r="I50" i="1" s="1"/>
  <c r="J50" i="1" a="1"/>
  <c r="J50" i="1" s="1"/>
  <c r="I52" i="1" a="1"/>
  <c r="I52" i="1" s="1"/>
  <c r="H53" i="1" a="1"/>
  <c r="H53" i="1" s="1"/>
  <c r="F52" i="1" a="1"/>
  <c r="F52" i="1" s="1"/>
  <c r="G51" i="1" a="1"/>
  <c r="G51" i="1" s="1"/>
  <c r="H52" i="1" a="1"/>
  <c r="H52" i="1" s="1"/>
  <c r="F51" i="1" a="1"/>
  <c r="F51" i="1" s="1"/>
  <c r="G52" i="1" a="1"/>
  <c r="G52" i="1" s="1"/>
  <c r="G50" i="1" a="1"/>
  <c r="G50" i="1" s="1"/>
  <c r="J57" i="1" a="1"/>
  <c r="J57" i="1" s="1"/>
  <c r="F57" i="1" a="1"/>
  <c r="F57" i="1" s="1"/>
  <c r="F53" i="1" a="1"/>
  <c r="F53" i="1" s="1"/>
  <c r="K51" i="1" a="1"/>
  <c r="K51" i="1" s="1"/>
  <c r="H60" i="1" a="1"/>
  <c r="H60" i="1" s="1"/>
  <c r="G60" i="1" a="1"/>
  <c r="G60" i="1" s="1"/>
  <c r="F60" i="1" a="1"/>
  <c r="F60" i="1" s="1"/>
  <c r="J59" i="1" a="1"/>
  <c r="J59" i="1" s="1"/>
  <c r="K50" i="1" a="1"/>
  <c r="K50" i="1" s="1"/>
  <c r="J58" i="1" a="1"/>
  <c r="J58" i="1" s="1"/>
  <c r="I59" i="1" a="1"/>
  <c r="I59" i="1" s="1"/>
  <c r="G59" i="1" a="1"/>
  <c r="G59" i="1" s="1"/>
  <c r="H58" i="1" a="1"/>
  <c r="H58" i="1" s="1"/>
  <c r="G53" i="1" a="1"/>
  <c r="G53" i="1" s="1"/>
  <c r="F50" i="1" a="1"/>
  <c r="F50" i="1" s="1"/>
  <c r="F58" i="1" a="1"/>
  <c r="F58" i="1" s="1"/>
  <c r="G58" i="1" a="1"/>
  <c r="G58" i="1" s="1"/>
  <c r="K57" i="1" a="1"/>
  <c r="K57" i="1" s="1"/>
  <c r="G57" i="1" a="1"/>
  <c r="G57" i="1" s="1"/>
  <c r="I53" i="1" a="1"/>
  <c r="I53" i="1" s="1"/>
  <c r="I51" i="1" a="1"/>
  <c r="I51" i="1" s="1"/>
  <c r="H50" i="1" a="1"/>
  <c r="H50" i="1" s="1"/>
  <c r="J52" i="1" a="1"/>
  <c r="J52" i="1" s="1"/>
  <c r="I57" i="1" a="1"/>
  <c r="I57" i="1" s="1"/>
  <c r="K53" i="1" a="1"/>
  <c r="K53" i="1" s="1"/>
  <c r="H14" i="1" a="1"/>
  <c r="H14" i="1" s="1"/>
  <c r="H13" i="1" a="1"/>
  <c r="H13" i="1" s="1"/>
  <c r="G14" i="1" a="1"/>
  <c r="G14" i="1" s="1"/>
  <c r="G13" i="1" a="1"/>
  <c r="G13" i="1" s="1"/>
  <c r="F15" i="1" a="1"/>
  <c r="F15" i="1" s="1"/>
  <c r="K13" i="1" a="1"/>
  <c r="K13" i="1" s="1"/>
  <c r="J15" i="1" a="1"/>
  <c r="J15" i="1" s="1"/>
  <c r="K14" i="1" a="1"/>
  <c r="K14" i="1" s="1"/>
  <c r="I13" i="1" a="1"/>
  <c r="I13" i="1" s="1"/>
  <c r="F13" i="1" a="1"/>
  <c r="F13" i="1" s="1"/>
  <c r="H15" i="1" a="1"/>
  <c r="H15" i="1" s="1"/>
  <c r="F14" i="1" a="1"/>
  <c r="F14" i="1" s="1"/>
  <c r="G15" i="1" a="1"/>
  <c r="G15" i="1" s="1"/>
  <c r="J14" i="1" a="1"/>
  <c r="J14" i="1" s="1"/>
  <c r="I14" i="1" a="1"/>
  <c r="I14" i="1" s="1"/>
  <c r="I15" i="1" a="1"/>
  <c r="I15" i="1" s="1"/>
  <c r="K15" i="1" a="1"/>
  <c r="K15" i="1" s="1"/>
  <c r="J13" i="1" a="1"/>
  <c r="J13" i="1" s="1"/>
  <c r="K54" i="1" a="1"/>
  <c r="K54" i="1" s="1"/>
  <c r="J54" i="1" a="1"/>
  <c r="J54" i="1" s="1"/>
  <c r="I54" i="1" a="1"/>
  <c r="I54" i="1" s="1"/>
  <c r="F54" i="1" a="1"/>
  <c r="F54" i="1" s="1"/>
  <c r="H54" i="1" a="1"/>
  <c r="H54" i="1" s="1"/>
  <c r="G54" i="1" a="1"/>
  <c r="G54" i="1" s="1"/>
  <c r="F43" i="1" a="1"/>
  <c r="F43" i="1" s="1"/>
  <c r="H41" i="1" a="1"/>
  <c r="H41" i="1" s="1"/>
  <c r="K48" i="1" a="1"/>
  <c r="K48" i="1" s="1"/>
  <c r="J42" i="1" a="1"/>
  <c r="J42" i="1" s="1"/>
  <c r="J41" i="1" a="1"/>
  <c r="J41" i="1" s="1"/>
  <c r="K41" i="1" a="1"/>
  <c r="K41" i="1" s="1"/>
  <c r="F41" i="1" a="1"/>
  <c r="F41" i="1" s="1"/>
  <c r="J48" i="1" a="1"/>
  <c r="J48" i="1" s="1"/>
  <c r="G42" i="1" a="1"/>
  <c r="G42" i="1" s="1"/>
  <c r="K42" i="1" a="1"/>
  <c r="K42" i="1" s="1"/>
  <c r="I43" i="1" a="1"/>
  <c r="I43" i="1" s="1"/>
  <c r="I48" i="1" a="1"/>
  <c r="I48" i="1" s="1"/>
  <c r="H48" i="1" a="1"/>
  <c r="H48" i="1" s="1"/>
  <c r="G48" i="1" a="1"/>
  <c r="G48" i="1" s="1"/>
  <c r="F48" i="1" a="1"/>
  <c r="F48" i="1" s="1"/>
  <c r="I41" i="1" a="1"/>
  <c r="I41" i="1" s="1"/>
  <c r="H43" i="1" a="1"/>
  <c r="H43" i="1" s="1"/>
  <c r="F42" i="1" a="1"/>
  <c r="F42" i="1" s="1"/>
  <c r="K43" i="1" a="1"/>
  <c r="K43" i="1" s="1"/>
  <c r="H42" i="1" a="1"/>
  <c r="H42" i="1" s="1"/>
  <c r="G43" i="1" a="1"/>
  <c r="G43" i="1" s="1"/>
  <c r="I42" i="1" a="1"/>
  <c r="I42" i="1" s="1"/>
  <c r="G41" i="1" a="1"/>
  <c r="G41" i="1" s="1"/>
  <c r="J43" i="1" a="1"/>
  <c r="J43" i="1" s="1"/>
  <c r="H28" i="1" a="1"/>
  <c r="H28" i="1" s="1"/>
  <c r="F25" i="1" a="1"/>
  <c r="F25" i="1" s="1"/>
  <c r="K24" i="1" a="1"/>
  <c r="K24" i="1" s="1"/>
  <c r="G28" i="1" a="1"/>
  <c r="G28" i="1" s="1"/>
  <c r="G27" i="1" a="1"/>
  <c r="G27" i="1" s="1"/>
  <c r="G25" i="1" a="1"/>
  <c r="G25" i="1" s="1"/>
  <c r="I25" i="1" a="1"/>
  <c r="I25" i="1" s="1"/>
  <c r="K27" i="1" a="1"/>
  <c r="K27" i="1" s="1"/>
  <c r="J27" i="1" a="1"/>
  <c r="J27" i="1" s="1"/>
  <c r="G26" i="1" a="1"/>
  <c r="G26" i="1" s="1"/>
  <c r="F27" i="1" a="1"/>
  <c r="F27" i="1" s="1"/>
  <c r="J24" i="1" a="1"/>
  <c r="J24" i="1" s="1"/>
  <c r="K26" i="1" a="1"/>
  <c r="K26" i="1" s="1"/>
  <c r="J26" i="1" a="1"/>
  <c r="J26" i="1" s="1"/>
  <c r="H26" i="1" a="1"/>
  <c r="H26" i="1" s="1"/>
  <c r="F26" i="1" a="1"/>
  <c r="F26" i="1" s="1"/>
  <c r="I27" i="1" a="1"/>
  <c r="I27" i="1" s="1"/>
  <c r="I26" i="1" a="1"/>
  <c r="I26" i="1" s="1"/>
  <c r="H25" i="1" a="1"/>
  <c r="H25" i="1" s="1"/>
  <c r="K25" i="1" a="1"/>
  <c r="K25" i="1" s="1"/>
  <c r="H24" i="1" a="1"/>
  <c r="H24" i="1" s="1"/>
  <c r="I28" i="1" a="1"/>
  <c r="I28" i="1" s="1"/>
  <c r="H27" i="1" a="1"/>
  <c r="H27" i="1" s="1"/>
  <c r="K28" i="1" a="1"/>
  <c r="K28" i="1" s="1"/>
  <c r="J28" i="1" a="1"/>
  <c r="J28" i="1" s="1"/>
  <c r="F28" i="1" a="1"/>
  <c r="F28" i="1" s="1"/>
  <c r="I24" i="1" a="1"/>
  <c r="I24" i="1" s="1"/>
  <c r="J25" i="1" a="1"/>
  <c r="J25" i="1" s="1"/>
  <c r="K11" i="1" a="1"/>
  <c r="K11" i="1" s="1"/>
  <c r="J11" i="1" a="1"/>
  <c r="J11" i="1"/>
  <c r="G11" i="1" a="1"/>
  <c r="G11" i="1" s="1"/>
  <c r="F16" i="1" a="1"/>
  <c r="F16" i="1" s="1"/>
  <c r="H11" i="1" a="1"/>
  <c r="H11" i="1" s="1"/>
  <c r="G24" i="1" a="1"/>
  <c r="G24" i="1" s="1"/>
  <c r="H16" i="1" a="1"/>
  <c r="H16" i="1"/>
  <c r="F17" i="1" a="1"/>
  <c r="F17" i="1" s="1"/>
  <c r="K16" i="1" a="1"/>
  <c r="K16" i="1" s="1"/>
  <c r="J17" i="1" a="1"/>
  <c r="J17" i="1" s="1"/>
  <c r="I17" i="1" a="1"/>
  <c r="I17" i="1" s="1"/>
  <c r="K21" i="1" a="1"/>
  <c r="K21" i="1" s="1"/>
  <c r="G21" i="1" a="1"/>
  <c r="G21" i="1" s="1"/>
  <c r="H17" i="1" a="1"/>
  <c r="H17" i="1" s="1"/>
  <c r="G17" i="1" a="1"/>
  <c r="G17" i="1" s="1"/>
  <c r="G16" i="1" a="1"/>
  <c r="G16" i="1" s="1"/>
  <c r="J16" i="1" a="1"/>
  <c r="J16" i="1" s="1"/>
  <c r="F24" i="1" a="1"/>
  <c r="F24" i="1" s="1"/>
  <c r="I11" i="1" a="1"/>
  <c r="I11" i="1"/>
  <c r="J21" i="1" a="1"/>
  <c r="J21" i="1" s="1"/>
  <c r="I21" i="1" a="1"/>
  <c r="I21" i="1" s="1"/>
  <c r="K17" i="1" a="1"/>
  <c r="K17" i="1"/>
  <c r="H21" i="1" a="1"/>
  <c r="H21" i="1" s="1"/>
  <c r="F21" i="1" a="1"/>
  <c r="F21" i="1" s="1"/>
  <c r="I16" i="1" a="1"/>
  <c r="I16" i="1" s="1"/>
  <c r="F4" i="1" a="1"/>
  <c r="F4" i="1" s="1"/>
  <c r="F11" i="1" a="1"/>
  <c r="F11" i="1" s="1"/>
  <c r="K9" i="1" a="1"/>
  <c r="K9" i="1" s="1"/>
  <c r="H5" i="1" a="1"/>
  <c r="H5" i="1" s="1"/>
  <c r="G6" i="1" a="1"/>
  <c r="G6" i="1" s="1"/>
  <c r="I9" i="1" a="1"/>
  <c r="I9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F9" i="1" a="1"/>
  <c r="F9" i="1" s="1"/>
  <c r="J9" i="1" a="1"/>
  <c r="J9" i="1" s="1"/>
  <c r="G4" i="1" a="1"/>
  <c r="G4" i="1" s="1"/>
  <c r="F7" i="1" a="1"/>
  <c r="F7" i="1" s="1"/>
  <c r="H9" i="1" a="1"/>
  <c r="H9" i="1"/>
  <c r="G9" i="1" a="1"/>
  <c r="G9" i="1" s="1"/>
  <c r="K7" i="1" a="1"/>
  <c r="K7" i="1" s="1"/>
  <c r="J7" i="1" a="1"/>
  <c r="J7" i="1" s="1"/>
  <c r="I7" i="1" a="1"/>
  <c r="I7" i="1" s="1"/>
  <c r="F6" i="1" a="1"/>
  <c r="F6" i="1" s="1"/>
  <c r="H7" i="1" a="1"/>
  <c r="H7" i="1" s="1"/>
  <c r="G5" i="1" a="1"/>
  <c r="G5" i="1"/>
  <c r="I4" i="1" a="1"/>
  <c r="I4" i="1" s="1"/>
  <c r="G7" i="1" a="1"/>
  <c r="G7" i="1" s="1"/>
  <c r="I5" i="1" a="1"/>
  <c r="I5" i="1"/>
  <c r="K6" i="1" a="1"/>
  <c r="K6" i="1" s="1"/>
  <c r="J5" i="1" a="1"/>
  <c r="J5" i="1" s="1"/>
  <c r="H6" i="1" a="1"/>
  <c r="H6" i="1" s="1"/>
  <c r="F5" i="1" a="1"/>
  <c r="F5" i="1" s="1"/>
  <c r="J4" i="1" a="1"/>
  <c r="J4" i="1" s="1"/>
  <c r="J6" i="1" a="1"/>
  <c r="J6" i="1" s="1"/>
  <c r="I6" i="1" a="1"/>
  <c r="I6" i="1" s="1"/>
  <c r="K5" i="1" a="1"/>
  <c r="K5" i="1" s="1"/>
  <c r="K4" i="1" a="1"/>
  <c r="K4" i="1" s="1"/>
  <c r="H4" i="1" a="1"/>
  <c r="H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3" i="1"/>
  <c r="I2296" i="1" l="1"/>
  <c r="I2290" i="1" s="1"/>
  <c r="K2160" i="1"/>
  <c r="J2160" i="1"/>
  <c r="I2160" i="1"/>
  <c r="H2160" i="1"/>
  <c r="G2160" i="1"/>
  <c r="F2160" i="1"/>
  <c r="K2089" i="1"/>
  <c r="K2045" i="1" s="1"/>
  <c r="J2089" i="1"/>
  <c r="J2045" i="1" s="1"/>
  <c r="I2089" i="1"/>
  <c r="I2045" i="1" s="1"/>
  <c r="H2089" i="1"/>
  <c r="H2045" i="1" s="1"/>
  <c r="G2089" i="1"/>
  <c r="G2045" i="1" s="1"/>
  <c r="F2089" i="1"/>
  <c r="F2045" i="1" s="1"/>
  <c r="J299" i="1"/>
  <c r="J463" i="1" s="1"/>
  <c r="H299" i="1"/>
  <c r="H463" i="1" s="1"/>
  <c r="G299" i="1"/>
  <c r="G463" i="1" s="1"/>
  <c r="F299" i="1"/>
  <c r="F463" i="1" s="1"/>
  <c r="K298" i="1"/>
  <c r="K411" i="1" s="1"/>
  <c r="J298" i="1"/>
  <c r="J411" i="1" s="1"/>
  <c r="I298" i="1"/>
  <c r="I411" i="1" s="1"/>
  <c r="H298" i="1"/>
  <c r="H411" i="1" s="1"/>
  <c r="G298" i="1"/>
  <c r="G411" i="1" s="1"/>
  <c r="K2184" i="1"/>
  <c r="J2184" i="1"/>
  <c r="I2184" i="1"/>
  <c r="H2184" i="1"/>
  <c r="G2184" i="1"/>
  <c r="F2184" i="1"/>
  <c r="K2310" i="1"/>
  <c r="K2308" i="1"/>
  <c r="J2310" i="1"/>
  <c r="J2308" i="1"/>
  <c r="I2310" i="1"/>
  <c r="I2308" i="1"/>
  <c r="H2308" i="1"/>
  <c r="H2310" i="1"/>
  <c r="G2310" i="1"/>
  <c r="G2308" i="1"/>
  <c r="F2310" i="1"/>
  <c r="F2308" i="1"/>
  <c r="K2218" i="1"/>
  <c r="J2218" i="1"/>
  <c r="I2218" i="1"/>
  <c r="H2218" i="1"/>
  <c r="G2218" i="1"/>
  <c r="F2218" i="1"/>
  <c r="K2208" i="1"/>
  <c r="J2208" i="1"/>
  <c r="I2208" i="1"/>
  <c r="H2208" i="1"/>
  <c r="G2208" i="1"/>
  <c r="F2208" i="1"/>
  <c r="K2109" i="1"/>
  <c r="J2109" i="1"/>
  <c r="I2109" i="1"/>
  <c r="H2109" i="1"/>
  <c r="G2109" i="1"/>
  <c r="F2109" i="1"/>
  <c r="J740" i="1" a="1"/>
  <c r="J740" i="1" s="1"/>
  <c r="J742" i="1" s="1" a="1"/>
  <c r="J742" i="1" s="1"/>
  <c r="K897" i="1"/>
  <c r="K398" i="1"/>
  <c r="K518" i="1" s="1"/>
  <c r="I398" i="1"/>
  <c r="I518" i="1" s="1"/>
  <c r="K397" i="1"/>
  <c r="K517" i="1" s="1"/>
  <c r="K384" i="1"/>
  <c r="K515" i="1" s="1"/>
  <c r="I384" i="1"/>
  <c r="I515" i="1" s="1"/>
  <c r="K383" i="1"/>
  <c r="K514" i="1" s="1"/>
  <c r="I383" i="1"/>
  <c r="I514" i="1" s="1"/>
  <c r="K382" i="1"/>
  <c r="K513" i="1" s="1"/>
  <c r="I382" i="1"/>
  <c r="I513" i="1" s="1"/>
  <c r="G323" i="1"/>
  <c r="G478" i="1" s="1"/>
  <c r="K321" i="1"/>
  <c r="K476" i="1" s="1"/>
  <c r="I321" i="1"/>
  <c r="I476" i="1" s="1"/>
  <c r="G321" i="1"/>
  <c r="G476" i="1" s="1"/>
  <c r="I320" i="1"/>
  <c r="I475" i="1" s="1"/>
  <c r="G320" i="1"/>
  <c r="G475" i="1" s="1"/>
  <c r="K319" i="1"/>
  <c r="K474" i="1" s="1"/>
  <c r="I319" i="1"/>
  <c r="I474" i="1" s="1"/>
  <c r="G319" i="1"/>
  <c r="G474" i="1" s="1"/>
  <c r="F319" i="1"/>
  <c r="F474" i="1" s="1"/>
  <c r="K318" i="1"/>
  <c r="K473" i="1" s="1"/>
  <c r="K299" i="1"/>
  <c r="K463" i="1" s="1"/>
  <c r="I299" i="1"/>
  <c r="I463" i="1" s="1"/>
  <c r="F378" i="1"/>
  <c r="F435" i="1" s="1"/>
  <c r="H313" i="1"/>
  <c r="H418" i="1" s="1"/>
  <c r="J381" i="1"/>
  <c r="J512" i="1" s="1"/>
  <c r="K315" i="1"/>
  <c r="K470" i="1" s="1"/>
  <c r="K724" i="1" a="1"/>
  <c r="K724" i="1" s="1"/>
  <c r="K726" i="1" s="1" a="1"/>
  <c r="K726" i="1" s="1"/>
  <c r="H781" i="1"/>
  <c r="H784" i="1"/>
  <c r="H785" i="1" s="1"/>
  <c r="F781" i="1"/>
  <c r="F784" i="1"/>
  <c r="F785" i="1" s="1"/>
  <c r="H127" i="1"/>
  <c r="H323" i="1"/>
  <c r="H478" i="1" s="1"/>
  <c r="K322" i="1"/>
  <c r="K477" i="1" s="1"/>
  <c r="K126" i="1"/>
  <c r="I126" i="1"/>
  <c r="I322" i="1"/>
  <c r="I477" i="1" s="1"/>
  <c r="H126" i="1"/>
  <c r="H322" i="1"/>
  <c r="H477" i="1" s="1"/>
  <c r="G322" i="1"/>
  <c r="G477" i="1" s="1"/>
  <c r="G126" i="1"/>
  <c r="K320" i="1"/>
  <c r="K475" i="1" s="1"/>
  <c r="K124" i="1"/>
  <c r="F124" i="1"/>
  <c r="F320" i="1"/>
  <c r="F475" i="1" s="1"/>
  <c r="H319" i="1"/>
  <c r="H474" i="1" s="1"/>
  <c r="H123" i="1"/>
  <c r="I318" i="1"/>
  <c r="I473" i="1" s="1"/>
  <c r="I122" i="1"/>
  <c r="H318" i="1"/>
  <c r="H473" i="1" s="1"/>
  <c r="H122" i="1"/>
  <c r="F318" i="1"/>
  <c r="F473" i="1" s="1"/>
  <c r="F122" i="1"/>
  <c r="J317" i="1"/>
  <c r="J472" i="1" s="1"/>
  <c r="J121" i="1"/>
  <c r="H317" i="1"/>
  <c r="H472" i="1" s="1"/>
  <c r="H121" i="1"/>
  <c r="J316" i="1"/>
  <c r="J471" i="1" s="1"/>
  <c r="J120" i="1"/>
  <c r="H120" i="1"/>
  <c r="H316" i="1"/>
  <c r="H471" i="1" s="1"/>
  <c r="G316" i="1"/>
  <c r="G471" i="1" s="1"/>
  <c r="G120" i="1"/>
  <c r="K313" i="1"/>
  <c r="K418" i="1" s="1"/>
  <c r="K117" i="1"/>
  <c r="I117" i="1"/>
  <c r="I313" i="1"/>
  <c r="I418" i="1" s="1"/>
  <c r="G117" i="1"/>
  <c r="G313" i="1"/>
  <c r="G418" i="1" s="1"/>
  <c r="K116" i="1"/>
  <c r="K312" i="1"/>
  <c r="K417" i="1" s="1"/>
  <c r="J312" i="1"/>
  <c r="J417" i="1" s="1"/>
  <c r="J116" i="1"/>
  <c r="I116" i="1"/>
  <c r="I312" i="1"/>
  <c r="I417" i="1" s="1"/>
  <c r="K196" i="1"/>
  <c r="K360" i="1"/>
  <c r="K427" i="1" s="1"/>
  <c r="J196" i="1"/>
  <c r="J359" i="1" s="1"/>
  <c r="J426" i="1" s="1"/>
  <c r="J360" i="1"/>
  <c r="J427" i="1" s="1"/>
  <c r="F360" i="1"/>
  <c r="F427" i="1" s="1"/>
  <c r="G381" i="1"/>
  <c r="G512" i="1" s="1"/>
  <c r="G281" i="1"/>
  <c r="G380" i="1" s="1"/>
  <c r="G511" i="1" s="1"/>
  <c r="H360" i="1"/>
  <c r="H427" i="1" s="1"/>
  <c r="H381" i="1"/>
  <c r="H512" i="1" s="1"/>
  <c r="H281" i="1"/>
  <c r="H380" i="1" s="1"/>
  <c r="H511" i="1" s="1"/>
  <c r="I381" i="1"/>
  <c r="I512" i="1" s="1"/>
  <c r="I281" i="1"/>
  <c r="G740" i="1" a="1"/>
  <c r="G740" i="1" s="1"/>
  <c r="G742" i="1" s="1" a="1"/>
  <c r="G742" i="1" s="1"/>
  <c r="G724" i="1" a="1"/>
  <c r="G724" i="1" s="1"/>
  <c r="G726" i="1" s="1" a="1"/>
  <c r="G726" i="1" s="1"/>
  <c r="F298" i="1"/>
  <c r="F411" i="1" s="1"/>
  <c r="F315" i="1"/>
  <c r="F470" i="1" s="1"/>
  <c r="J123" i="1"/>
  <c r="G383" i="1"/>
  <c r="G514" i="1" s="1"/>
  <c r="H740" i="1" a="1"/>
  <c r="H740" i="1" s="1"/>
  <c r="H742" i="1" s="1" a="1"/>
  <c r="H742" i="1" s="1"/>
  <c r="H724" i="1" a="1"/>
  <c r="H724" i="1" s="1"/>
  <c r="H726" i="1" s="1" a="1"/>
  <c r="H726" i="1" s="1"/>
  <c r="F312" i="1"/>
  <c r="F417" i="1" s="1"/>
  <c r="F116" i="1"/>
  <c r="H315" i="1"/>
  <c r="H470" i="1" s="1"/>
  <c r="H119" i="1"/>
  <c r="J318" i="1"/>
  <c r="J473" i="1" s="1"/>
  <c r="J122" i="1"/>
  <c r="F322" i="1"/>
  <c r="F477" i="1" s="1"/>
  <c r="F126" i="1"/>
  <c r="J361" i="1"/>
  <c r="J502" i="1" s="1"/>
  <c r="F380" i="1"/>
  <c r="F511" i="1" s="1"/>
  <c r="G362" i="1"/>
  <c r="I315" i="1"/>
  <c r="I470" i="1" s="1"/>
  <c r="I923" i="1"/>
  <c r="I922" i="1" s="1"/>
  <c r="I901" i="1"/>
  <c r="H312" i="1"/>
  <c r="H417" i="1" s="1"/>
  <c r="J315" i="1"/>
  <c r="J470" i="1" s="1"/>
  <c r="F362" i="1"/>
  <c r="I380" i="1"/>
  <c r="I511" i="1" s="1"/>
  <c r="J323" i="1"/>
  <c r="J478" i="1" s="1"/>
  <c r="F359" i="1"/>
  <c r="F426" i="1" s="1"/>
  <c r="H362" i="1"/>
  <c r="G359" i="1"/>
  <c r="G426" i="1" s="1"/>
  <c r="I362" i="1"/>
  <c r="F313" i="1"/>
  <c r="F418" i="1" s="1"/>
  <c r="F117" i="1"/>
  <c r="F323" i="1"/>
  <c r="F478" i="1" s="1"/>
  <c r="F127" i="1"/>
  <c r="H359" i="1"/>
  <c r="H426" i="1" s="1"/>
  <c r="J362" i="1"/>
  <c r="F381" i="1"/>
  <c r="F512" i="1" s="1"/>
  <c r="I316" i="1"/>
  <c r="I471" i="1" s="1"/>
  <c r="G900" i="1"/>
  <c r="J784" i="1"/>
  <c r="J785" i="1" s="1"/>
  <c r="J781" i="1"/>
  <c r="K316" i="1"/>
  <c r="K471" i="1" s="1"/>
  <c r="I323" i="1"/>
  <c r="I478" i="1" s="1"/>
  <c r="K359" i="1"/>
  <c r="K426" i="1" s="1"/>
  <c r="G315" i="1"/>
  <c r="G470" i="1" s="1"/>
  <c r="I897" i="1"/>
  <c r="K362" i="1"/>
  <c r="K272" i="1"/>
  <c r="K361" i="1" s="1"/>
  <c r="K502" i="1" s="1"/>
  <c r="J117" i="1"/>
  <c r="J313" i="1"/>
  <c r="J418" i="1" s="1"/>
  <c r="H124" i="1"/>
  <c r="H320" i="1"/>
  <c r="H475" i="1" s="1"/>
  <c r="F724" i="1" a="1"/>
  <c r="F724" i="1" s="1"/>
  <c r="F726" i="1" s="1" a="1"/>
  <c r="F726" i="1" s="1"/>
  <c r="G317" i="1"/>
  <c r="G472" i="1" s="1"/>
  <c r="K323" i="1"/>
  <c r="K478" i="1" s="1"/>
  <c r="G360" i="1"/>
  <c r="G427" i="1" s="1"/>
  <c r="K381" i="1"/>
  <c r="K512" i="1" s="1"/>
  <c r="I740" i="1" a="1"/>
  <c r="I740" i="1" s="1"/>
  <c r="I742" i="1" s="1" a="1"/>
  <c r="I742" i="1" s="1"/>
  <c r="I724" i="1" a="1"/>
  <c r="I724" i="1" s="1"/>
  <c r="I726" i="1" s="1" a="1"/>
  <c r="I726" i="1" s="1"/>
  <c r="F118" i="1"/>
  <c r="F239" i="1"/>
  <c r="F314" i="1"/>
  <c r="F469" i="1" s="1"/>
  <c r="J320" i="1"/>
  <c r="J475" i="1" s="1"/>
  <c r="J124" i="1"/>
  <c r="F317" i="1"/>
  <c r="F472" i="1" s="1"/>
  <c r="G923" i="1"/>
  <c r="G922" i="1" s="1"/>
  <c r="G901" i="1"/>
  <c r="I360" i="1"/>
  <c r="I427" i="1" s="1"/>
  <c r="F740" i="1" a="1"/>
  <c r="F740" i="1" s="1"/>
  <c r="F742" i="1" s="1" a="1"/>
  <c r="F742" i="1" s="1"/>
  <c r="J396" i="1"/>
  <c r="J437" i="1" s="1"/>
  <c r="G361" i="1"/>
  <c r="G502" i="1" s="1"/>
  <c r="F119" i="1"/>
  <c r="I317" i="1"/>
  <c r="I472" i="1" s="1"/>
  <c r="G781" i="1"/>
  <c r="I900" i="1"/>
  <c r="K900" i="1"/>
  <c r="K317" i="1"/>
  <c r="K472" i="1" s="1"/>
  <c r="I781" i="1"/>
  <c r="K740" i="1" a="1"/>
  <c r="K740" i="1" s="1"/>
  <c r="K742" i="1" s="1" a="1"/>
  <c r="K742" i="1" s="1"/>
  <c r="G116" i="1"/>
  <c r="J119" i="1"/>
  <c r="J314" i="1"/>
  <c r="J469" i="1" s="1"/>
  <c r="G318" i="1"/>
  <c r="G473" i="1" s="1"/>
  <c r="K781" i="1"/>
  <c r="J901" i="1"/>
  <c r="F120" i="1"/>
  <c r="G897" i="1"/>
  <c r="K901" i="1"/>
  <c r="H897" i="1"/>
  <c r="H239" i="1"/>
  <c r="H314" i="1" s="1"/>
  <c r="H469" i="1" s="1"/>
  <c r="F893" i="1"/>
  <c r="F901" i="1" s="1"/>
  <c r="J322" i="1"/>
  <c r="J477" i="1" s="1"/>
  <c r="J897" i="1"/>
  <c r="H923" i="1"/>
  <c r="H922" i="1" s="1"/>
  <c r="J900" i="1"/>
  <c r="H900" i="1"/>
  <c r="F897" i="1" l="1"/>
  <c r="F900" i="1"/>
  <c r="C2029" i="1" l="1"/>
  <c r="C2030" i="1"/>
  <c r="C2031" i="1"/>
  <c r="C2032" i="1"/>
  <c r="C2033" i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28" i="1"/>
  <c r="J2025" i="1"/>
  <c r="I2025" i="1"/>
  <c r="H2025" i="1"/>
  <c r="G2025" i="1"/>
  <c r="F2025" i="1"/>
  <c r="J2022" i="1"/>
  <c r="I2022" i="1"/>
  <c r="H2022" i="1"/>
  <c r="G2022" i="1"/>
  <c r="F2022" i="1"/>
  <c r="E1899" i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4" i="1"/>
  <c r="J1884" i="1"/>
  <c r="I1884" i="1"/>
  <c r="H1884" i="1"/>
  <c r="G1884" i="1"/>
  <c r="J1881" i="1"/>
  <c r="F1896" i="1"/>
  <c r="F1894" i="1"/>
  <c r="F1892" i="1"/>
  <c r="F1890" i="1"/>
  <c r="F1884" i="1"/>
  <c r="K1878" i="1"/>
  <c r="J1878" i="1"/>
  <c r="I1878" i="1"/>
  <c r="H1878" i="1"/>
  <c r="G1878" i="1"/>
  <c r="K1876" i="1"/>
  <c r="J1876" i="1"/>
  <c r="I1876" i="1"/>
  <c r="H1876" i="1"/>
  <c r="G1876" i="1"/>
  <c r="K1874" i="1"/>
  <c r="J1874" i="1"/>
  <c r="I1874" i="1"/>
  <c r="H1874" i="1"/>
  <c r="G1874" i="1"/>
  <c r="K1872" i="1"/>
  <c r="J1872" i="1"/>
  <c r="I1872" i="1"/>
  <c r="H1872" i="1"/>
  <c r="G1872" i="1"/>
  <c r="K1870" i="1"/>
  <c r="J1870" i="1"/>
  <c r="I1870" i="1"/>
  <c r="H1870" i="1"/>
  <c r="G1870" i="1"/>
  <c r="K1868" i="1"/>
  <c r="J1868" i="1"/>
  <c r="I1868" i="1"/>
  <c r="H1868" i="1"/>
  <c r="G1868" i="1"/>
  <c r="K1864" i="1"/>
  <c r="F1878" i="1"/>
  <c r="F1876" i="1"/>
  <c r="F1874" i="1"/>
  <c r="F1872" i="1"/>
  <c r="F1870" i="1"/>
  <c r="F1868" i="1"/>
  <c r="F1861" i="1"/>
  <c r="K1855" i="1"/>
  <c r="J1855" i="1"/>
  <c r="I1855" i="1"/>
  <c r="H1855" i="1"/>
  <c r="G1855" i="1"/>
  <c r="F1855" i="1"/>
  <c r="K1853" i="1"/>
  <c r="J1853" i="1"/>
  <c r="I1853" i="1"/>
  <c r="H1853" i="1"/>
  <c r="G1853" i="1"/>
  <c r="F1853" i="1"/>
  <c r="K1851" i="1"/>
  <c r="J1851" i="1"/>
  <c r="I1851" i="1"/>
  <c r="H1851" i="1"/>
  <c r="G1851" i="1"/>
  <c r="F1851" i="1"/>
  <c r="K1849" i="1"/>
  <c r="J1849" i="1"/>
  <c r="I1849" i="1"/>
  <c r="H1849" i="1"/>
  <c r="G1849" i="1"/>
  <c r="F1849" i="1"/>
  <c r="K1847" i="1"/>
  <c r="J1847" i="1"/>
  <c r="I1847" i="1"/>
  <c r="H1847" i="1"/>
  <c r="G1847" i="1"/>
  <c r="F1847" i="1"/>
  <c r="K1842" i="1"/>
  <c r="J1842" i="1"/>
  <c r="I1842" i="1"/>
  <c r="H1842" i="1"/>
  <c r="G1842" i="1"/>
  <c r="F1842" i="1"/>
  <c r="E1819" i="1"/>
  <c r="K1836" i="1"/>
  <c r="J1836" i="1"/>
  <c r="I1836" i="1"/>
  <c r="H1836" i="1"/>
  <c r="G1836" i="1"/>
  <c r="K1834" i="1"/>
  <c r="J1834" i="1"/>
  <c r="I1834" i="1"/>
  <c r="H1834" i="1"/>
  <c r="G1834" i="1"/>
  <c r="K1832" i="1"/>
  <c r="J1832" i="1"/>
  <c r="I1832" i="1"/>
  <c r="H1832" i="1"/>
  <c r="G1832" i="1"/>
  <c r="K1830" i="1"/>
  <c r="J1830" i="1"/>
  <c r="I1830" i="1"/>
  <c r="H1830" i="1"/>
  <c r="G1830" i="1"/>
  <c r="K1828" i="1"/>
  <c r="J1828" i="1"/>
  <c r="I1828" i="1"/>
  <c r="H1828" i="1"/>
  <c r="G1828" i="1"/>
  <c r="K1823" i="1"/>
  <c r="J1823" i="1"/>
  <c r="I1823" i="1"/>
  <c r="H1823" i="1"/>
  <c r="G1823" i="1"/>
  <c r="F1836" i="1"/>
  <c r="F1834" i="1"/>
  <c r="F1832" i="1"/>
  <c r="F1830" i="1"/>
  <c r="F1828" i="1"/>
  <c r="F1823" i="1"/>
  <c r="E1820" i="1"/>
  <c r="E1821" i="1" s="1"/>
  <c r="E1822" i="1" s="1"/>
  <c r="E1823" i="1" s="1"/>
  <c r="E1824" i="1" s="1"/>
  <c r="E1825" i="1" s="1"/>
  <c r="E1826" i="1" s="1"/>
  <c r="E1827" i="1" s="1"/>
  <c r="E1828" i="1" s="1"/>
  <c r="E1829" i="1" s="1"/>
  <c r="E1755" i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I1858" i="1" l="1"/>
  <c r="F1858" i="1"/>
  <c r="F1886" i="1"/>
  <c r="G1973" i="1"/>
  <c r="H1881" i="1"/>
  <c r="I1881" i="1"/>
  <c r="I2017" i="1"/>
  <c r="J2019" i="1"/>
  <c r="J2017" i="1"/>
  <c r="F2017" i="1"/>
  <c r="F2019" i="1"/>
  <c r="G2017" i="1"/>
  <c r="G2019" i="1"/>
  <c r="H2017" i="1"/>
  <c r="H2019" i="1"/>
  <c r="I2019" i="1"/>
  <c r="K2025" i="1"/>
  <c r="K2022" i="1"/>
  <c r="K2017" i="1" s="1"/>
  <c r="K2019" i="1"/>
  <c r="F1881" i="1"/>
  <c r="F1880" i="1" s="1"/>
  <c r="K1886" i="1"/>
  <c r="K1881" i="1"/>
  <c r="K1880" i="1" s="1"/>
  <c r="H2007" i="1"/>
  <c r="J2007" i="1"/>
  <c r="I2007" i="1"/>
  <c r="K2007" i="1"/>
  <c r="G2007" i="1"/>
  <c r="F2007" i="1"/>
  <c r="K1997" i="1"/>
  <c r="J1997" i="1"/>
  <c r="I1997" i="1"/>
  <c r="H1997" i="1"/>
  <c r="G1997" i="1"/>
  <c r="F1997" i="1"/>
  <c r="F1973" i="1"/>
  <c r="I1973" i="1"/>
  <c r="H1973" i="1"/>
  <c r="J1973" i="1"/>
  <c r="K1973" i="1"/>
  <c r="K1949" i="1"/>
  <c r="G1949" i="1"/>
  <c r="H1949" i="1"/>
  <c r="I1949" i="1"/>
  <c r="J1949" i="1"/>
  <c r="F1949" i="1"/>
  <c r="G1898" i="1"/>
  <c r="H1898" i="1"/>
  <c r="I1898" i="1"/>
  <c r="J1898" i="1"/>
  <c r="K1898" i="1"/>
  <c r="F1898" i="1"/>
  <c r="G1886" i="1"/>
  <c r="H1886" i="1"/>
  <c r="H1880" i="1" s="1"/>
  <c r="I1886" i="1"/>
  <c r="J1886" i="1"/>
  <c r="J1880" i="1" s="1"/>
  <c r="G1881" i="1"/>
  <c r="K1861" i="1"/>
  <c r="K1839" i="1"/>
  <c r="F1864" i="1"/>
  <c r="F1857" i="1" s="1"/>
  <c r="I1861" i="1"/>
  <c r="G1858" i="1"/>
  <c r="H1858" i="1"/>
  <c r="J1858" i="1"/>
  <c r="K1858" i="1"/>
  <c r="G1864" i="1"/>
  <c r="H1864" i="1"/>
  <c r="I1864" i="1"/>
  <c r="I1857" i="1" s="1"/>
  <c r="J1864" i="1"/>
  <c r="G1861" i="1"/>
  <c r="H1861" i="1"/>
  <c r="J1861" i="1"/>
  <c r="F1825" i="1"/>
  <c r="I1839" i="1"/>
  <c r="K1844" i="1"/>
  <c r="J1839" i="1"/>
  <c r="F1844" i="1"/>
  <c r="G1844" i="1"/>
  <c r="F1839" i="1"/>
  <c r="F1838" i="1" s="1"/>
  <c r="H1844" i="1"/>
  <c r="G1839" i="1"/>
  <c r="I1844" i="1"/>
  <c r="H1839" i="1"/>
  <c r="H1838" i="1" s="1"/>
  <c r="J1844" i="1"/>
  <c r="I1825" i="1"/>
  <c r="F1820" i="1"/>
  <c r="K1825" i="1"/>
  <c r="E1830" i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J1825" i="1"/>
  <c r="G1820" i="1"/>
  <c r="H1820" i="1"/>
  <c r="G1825" i="1"/>
  <c r="H1825" i="1"/>
  <c r="J1820" i="1"/>
  <c r="I1820" i="1"/>
  <c r="K1820" i="1"/>
  <c r="K1838" i="1" l="1"/>
  <c r="K1857" i="1"/>
  <c r="G1838" i="1"/>
  <c r="I1880" i="1"/>
  <c r="I1838" i="1"/>
  <c r="G1880" i="1"/>
  <c r="G1857" i="1"/>
  <c r="J1857" i="1"/>
  <c r="H1857" i="1"/>
  <c r="F1819" i="1"/>
  <c r="F1818" i="1" s="1"/>
  <c r="J1838" i="1"/>
  <c r="K1819" i="1"/>
  <c r="K1818" i="1" s="1"/>
  <c r="I1819" i="1"/>
  <c r="J1819" i="1"/>
  <c r="H1819" i="1"/>
  <c r="H1818" i="1" s="1"/>
  <c r="G1819" i="1"/>
  <c r="G1818" i="1" s="1"/>
  <c r="J1818" i="1" l="1"/>
  <c r="I1818" i="1"/>
  <c r="G1806" i="1"/>
  <c r="K1806" i="1"/>
  <c r="J1806" i="1"/>
  <c r="I1806" i="1"/>
  <c r="K1805" i="1"/>
  <c r="J1805" i="1"/>
  <c r="I1805" i="1"/>
  <c r="H1805" i="1"/>
  <c r="G1805" i="1"/>
  <c r="F1805" i="1"/>
  <c r="K1796" i="1"/>
  <c r="J1796" i="1"/>
  <c r="I1796" i="1"/>
  <c r="F1796" i="1"/>
  <c r="H1796" i="1"/>
  <c r="G1796" i="1"/>
  <c r="I1781" i="1"/>
  <c r="K1761" i="1"/>
  <c r="F1757" i="1"/>
  <c r="K1757" i="1"/>
  <c r="J1757" i="1"/>
  <c r="I1757" i="1"/>
  <c r="K1755" i="1"/>
  <c r="I1755" i="1"/>
  <c r="H1755" i="1"/>
  <c r="G1755" i="1"/>
  <c r="J1755" i="1"/>
  <c r="F1755" i="1"/>
  <c r="G1810" i="1" l="1"/>
  <c r="H1806" i="1"/>
  <c r="K1798" i="1"/>
  <c r="I1788" i="1"/>
  <c r="J1810" i="1"/>
  <c r="H1757" i="1"/>
  <c r="K1781" i="1"/>
  <c r="J1788" i="1"/>
  <c r="G1788" i="1"/>
  <c r="I1798" i="1"/>
  <c r="H1788" i="1"/>
  <c r="K1810" i="1"/>
  <c r="J1761" i="1"/>
  <c r="J1781" i="1"/>
  <c r="K1788" i="1"/>
  <c r="H1810" i="1"/>
  <c r="F1761" i="1"/>
  <c r="J1798" i="1"/>
  <c r="I1761" i="1"/>
  <c r="H1761" i="1"/>
  <c r="G1798" i="1"/>
  <c r="F1810" i="1"/>
  <c r="G1757" i="1"/>
  <c r="F1788" i="1"/>
  <c r="F1798" i="1"/>
  <c r="F1806" i="1"/>
  <c r="F1765" i="1"/>
  <c r="H1781" i="1"/>
  <c r="H1798" i="1"/>
  <c r="I1810" i="1"/>
  <c r="H1765" i="1"/>
  <c r="I1765" i="1"/>
  <c r="J1765" i="1"/>
  <c r="G1765" i="1"/>
  <c r="K1765" i="1"/>
  <c r="G1761" i="1"/>
  <c r="F1781" i="1"/>
  <c r="G1781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6" i="1"/>
  <c r="J1736" i="1"/>
  <c r="I1736" i="1"/>
  <c r="H1736" i="1"/>
  <c r="G1736" i="1"/>
  <c r="K1734" i="1"/>
  <c r="J1734" i="1"/>
  <c r="I1734" i="1"/>
  <c r="H1734" i="1"/>
  <c r="G1734" i="1"/>
  <c r="I1733" i="1"/>
  <c r="H1733" i="1"/>
  <c r="G1733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4" i="1"/>
  <c r="J1724" i="1"/>
  <c r="I1724" i="1"/>
  <c r="H1724" i="1"/>
  <c r="G1724" i="1"/>
  <c r="I1723" i="1"/>
  <c r="H1723" i="1"/>
  <c r="G1723" i="1"/>
  <c r="I1722" i="1"/>
  <c r="H1722" i="1"/>
  <c r="G1722" i="1"/>
  <c r="K1717" i="1"/>
  <c r="J1717" i="1"/>
  <c r="I1717" i="1"/>
  <c r="H1717" i="1"/>
  <c r="G1717" i="1"/>
  <c r="K1716" i="1"/>
  <c r="J1716" i="1"/>
  <c r="I1716" i="1"/>
  <c r="H1716" i="1"/>
  <c r="G1716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7" i="1"/>
  <c r="J1707" i="1"/>
  <c r="I1707" i="1"/>
  <c r="H1707" i="1"/>
  <c r="G1707" i="1"/>
  <c r="F1736" i="1"/>
  <c r="E1738" i="1"/>
  <c r="F1738" i="1"/>
  <c r="E1739" i="1"/>
  <c r="F1739" i="1"/>
  <c r="E1740" i="1"/>
  <c r="F1740" i="1"/>
  <c r="E1741" i="1"/>
  <c r="F1741" i="1"/>
  <c r="E1742" i="1"/>
  <c r="E1743" i="1"/>
  <c r="F1743" i="1"/>
  <c r="E1744" i="1"/>
  <c r="F1744" i="1"/>
  <c r="E1745" i="1"/>
  <c r="F1745" i="1"/>
  <c r="E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37" i="1"/>
  <c r="F1710" i="1"/>
  <c r="F1711" i="1"/>
  <c r="F1712" i="1"/>
  <c r="F1713" i="1"/>
  <c r="F1714" i="1"/>
  <c r="F1716" i="1"/>
  <c r="F1717" i="1"/>
  <c r="F1722" i="1"/>
  <c r="F1723" i="1"/>
  <c r="F1724" i="1"/>
  <c r="F1727" i="1"/>
  <c r="F1728" i="1"/>
  <c r="F1729" i="1"/>
  <c r="F1733" i="1"/>
  <c r="F1734" i="1"/>
  <c r="F1707" i="1"/>
  <c r="E1707" i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J1702" i="1"/>
  <c r="G12" i="4" s="1"/>
  <c r="I1702" i="1"/>
  <c r="F12" i="4" s="1"/>
  <c r="H1702" i="1"/>
  <c r="E12" i="4" s="1"/>
  <c r="F1702" i="1"/>
  <c r="C12" i="4" s="1"/>
  <c r="H1754" i="1" l="1"/>
  <c r="J1754" i="1"/>
  <c r="I1754" i="1"/>
  <c r="G1754" i="1"/>
  <c r="K1754" i="1"/>
  <c r="F1754" i="1"/>
  <c r="G1702" i="1"/>
  <c r="D12" i="4" s="1"/>
  <c r="K1702" i="1"/>
  <c r="H12" i="4" s="1"/>
  <c r="K1705" i="1" l="1"/>
  <c r="J1705" i="1"/>
  <c r="I1705" i="1"/>
  <c r="H1705" i="1"/>
  <c r="G1705" i="1"/>
  <c r="F1705" i="1"/>
  <c r="K1647" i="1"/>
  <c r="H6" i="4"/>
  <c r="G6" i="4"/>
  <c r="F6" i="4"/>
  <c r="E6" i="4"/>
  <c r="D6" i="4"/>
  <c r="C6" i="4"/>
  <c r="K1697" i="1"/>
  <c r="J1697" i="1"/>
  <c r="I1697" i="1"/>
  <c r="H1697" i="1"/>
  <c r="G1697" i="1"/>
  <c r="F1697" i="1"/>
  <c r="E1698" i="1"/>
  <c r="E1699" i="1" s="1"/>
  <c r="E1700" i="1" s="1"/>
  <c r="K1687" i="1"/>
  <c r="J1687" i="1"/>
  <c r="I1687" i="1"/>
  <c r="H1687" i="1"/>
  <c r="G1687" i="1"/>
  <c r="F1687" i="1"/>
  <c r="H1683" i="1"/>
  <c r="J1683" i="1"/>
  <c r="I1683" i="1"/>
  <c r="G1683" i="1"/>
  <c r="K1683" i="1"/>
  <c r="F1683" i="1"/>
  <c r="E1684" i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29" i="1"/>
  <c r="E1630" i="1" s="1"/>
  <c r="E1631" i="1" s="1"/>
  <c r="E1632" i="1" s="1"/>
  <c r="E1633" i="1" s="1"/>
  <c r="E1634" i="1" s="1"/>
  <c r="E1635" i="1" s="1"/>
  <c r="E1636" i="1" s="1"/>
  <c r="E1637" i="1" s="1"/>
  <c r="E1666" i="1"/>
  <c r="G1682" i="1"/>
  <c r="K1680" i="1"/>
  <c r="I1679" i="1"/>
  <c r="G1678" i="1"/>
  <c r="K1676" i="1"/>
  <c r="I1675" i="1"/>
  <c r="G1674" i="1"/>
  <c r="E1670" i="1"/>
  <c r="E1663" i="1"/>
  <c r="J1647" i="1"/>
  <c r="I1647" i="1"/>
  <c r="H1647" i="1"/>
  <c r="G1647" i="1"/>
  <c r="F1647" i="1"/>
  <c r="E1644" i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J1639" i="1"/>
  <c r="F1651" i="1" l="1"/>
  <c r="H1651" i="1"/>
  <c r="I1651" i="1"/>
  <c r="G1651" i="1"/>
  <c r="G1643" i="1"/>
  <c r="F1674" i="1"/>
  <c r="H1675" i="1"/>
  <c r="J1676" i="1"/>
  <c r="F1678" i="1"/>
  <c r="H1679" i="1"/>
  <c r="J1680" i="1"/>
  <c r="F1682" i="1"/>
  <c r="F1673" i="1"/>
  <c r="H1674" i="1"/>
  <c r="J1675" i="1"/>
  <c r="F1677" i="1"/>
  <c r="H1678" i="1"/>
  <c r="J1679" i="1"/>
  <c r="F1681" i="1"/>
  <c r="H1682" i="1"/>
  <c r="G1673" i="1"/>
  <c r="I1674" i="1"/>
  <c r="K1675" i="1"/>
  <c r="G1677" i="1"/>
  <c r="I1678" i="1"/>
  <c r="K1679" i="1"/>
  <c r="G1681" i="1"/>
  <c r="I1682" i="1"/>
  <c r="H1673" i="1"/>
  <c r="J1674" i="1"/>
  <c r="F1676" i="1"/>
  <c r="H1677" i="1"/>
  <c r="J1678" i="1"/>
  <c r="F1680" i="1"/>
  <c r="H1681" i="1"/>
  <c r="J1682" i="1"/>
  <c r="K1643" i="1"/>
  <c r="I1673" i="1"/>
  <c r="K1674" i="1"/>
  <c r="G1676" i="1"/>
  <c r="I1677" i="1"/>
  <c r="K1678" i="1"/>
  <c r="G1680" i="1"/>
  <c r="I1681" i="1"/>
  <c r="K1682" i="1"/>
  <c r="J1673" i="1"/>
  <c r="F1675" i="1"/>
  <c r="H1676" i="1"/>
  <c r="J1677" i="1"/>
  <c r="F1679" i="1"/>
  <c r="H1680" i="1"/>
  <c r="J1681" i="1"/>
  <c r="K1673" i="1"/>
  <c r="G1675" i="1"/>
  <c r="I1676" i="1"/>
  <c r="K1677" i="1"/>
  <c r="G1679" i="1"/>
  <c r="I1680" i="1"/>
  <c r="K1681" i="1"/>
  <c r="F1643" i="1"/>
  <c r="F1639" i="1"/>
  <c r="G1639" i="1"/>
  <c r="H1639" i="1"/>
  <c r="J1643" i="1"/>
  <c r="H1643" i="1"/>
  <c r="I1639" i="1"/>
  <c r="K1639" i="1"/>
  <c r="I1643" i="1"/>
  <c r="G1653" i="1"/>
  <c r="H1653" i="1"/>
  <c r="I1653" i="1"/>
  <c r="J1653" i="1"/>
  <c r="K1653" i="1"/>
  <c r="F1653" i="1"/>
  <c r="F1657" i="1" l="1"/>
  <c r="G1657" i="1"/>
  <c r="I1657" i="1"/>
  <c r="H1657" i="1"/>
  <c r="J1638" i="1"/>
  <c r="I1638" i="1"/>
  <c r="F1638" i="1"/>
  <c r="K1638" i="1"/>
  <c r="H1638" i="1"/>
  <c r="G1638" i="1"/>
  <c r="E1640" i="1" l="1"/>
  <c r="E1641" i="1" s="1"/>
  <c r="E1642" i="1" s="1"/>
  <c r="K1612" i="1"/>
  <c r="J1612" i="1"/>
  <c r="I1612" i="1"/>
  <c r="H1612" i="1"/>
  <c r="G1612" i="1"/>
  <c r="F1612" i="1"/>
  <c r="K1595" i="1"/>
  <c r="J1595" i="1"/>
  <c r="I1595" i="1"/>
  <c r="H1595" i="1"/>
  <c r="G1595" i="1"/>
  <c r="F1595" i="1"/>
  <c r="E1592" i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545" i="1"/>
  <c r="E1546" i="1" s="1"/>
  <c r="E1547" i="1" s="1"/>
  <c r="E1548" i="1" s="1"/>
  <c r="K1565" i="1"/>
  <c r="J1565" i="1"/>
  <c r="I1565" i="1"/>
  <c r="H1565" i="1"/>
  <c r="G1565" i="1"/>
  <c r="F1565" i="1"/>
  <c r="K1548" i="1"/>
  <c r="J1548" i="1"/>
  <c r="I1548" i="1"/>
  <c r="F1548" i="1"/>
  <c r="H1569" i="1" l="1"/>
  <c r="G1569" i="1"/>
  <c r="I1569" i="1"/>
  <c r="G1616" i="1"/>
  <c r="F1616" i="1"/>
  <c r="H1616" i="1"/>
  <c r="I1616" i="1"/>
  <c r="F1569" i="1"/>
  <c r="K1597" i="1"/>
  <c r="K1588" i="1"/>
  <c r="I1571" i="1"/>
  <c r="K1590" i="1"/>
  <c r="J1582" i="1"/>
  <c r="F1584" i="1"/>
  <c r="H1585" i="1"/>
  <c r="J1586" i="1"/>
  <c r="F1588" i="1"/>
  <c r="H1589" i="1"/>
  <c r="J1590" i="1"/>
  <c r="H1545" i="1"/>
  <c r="G1592" i="1"/>
  <c r="I1604" i="1"/>
  <c r="I1629" i="1"/>
  <c r="G1550" i="1"/>
  <c r="K1634" i="1"/>
  <c r="F1590" i="1"/>
  <c r="K1633" i="1"/>
  <c r="G1590" i="1"/>
  <c r="K1550" i="1"/>
  <c r="H1571" i="1"/>
  <c r="H1590" i="1"/>
  <c r="J1597" i="1"/>
  <c r="J1631" i="1"/>
  <c r="I1582" i="1"/>
  <c r="K1583" i="1"/>
  <c r="G1585" i="1"/>
  <c r="I1586" i="1"/>
  <c r="K1587" i="1"/>
  <c r="G1589" i="1"/>
  <c r="J1633" i="1"/>
  <c r="K1582" i="1"/>
  <c r="G1584" i="1"/>
  <c r="I1585" i="1"/>
  <c r="K1586" i="1"/>
  <c r="G1588" i="1"/>
  <c r="I1589" i="1"/>
  <c r="J1571" i="1"/>
  <c r="J1630" i="1"/>
  <c r="F1583" i="1"/>
  <c r="H1584" i="1"/>
  <c r="J1585" i="1"/>
  <c r="F1587" i="1"/>
  <c r="H1588" i="1"/>
  <c r="J1589" i="1"/>
  <c r="K1571" i="1"/>
  <c r="G1583" i="1"/>
  <c r="I1584" i="1"/>
  <c r="K1585" i="1"/>
  <c r="G1587" i="1"/>
  <c r="I1588" i="1"/>
  <c r="K1589" i="1"/>
  <c r="J1592" i="1"/>
  <c r="J1545" i="1"/>
  <c r="F1582" i="1"/>
  <c r="H1583" i="1"/>
  <c r="J1584" i="1"/>
  <c r="F1586" i="1"/>
  <c r="H1587" i="1"/>
  <c r="J1588" i="1"/>
  <c r="G1582" i="1"/>
  <c r="I1583" i="1"/>
  <c r="K1584" i="1"/>
  <c r="G1586" i="1"/>
  <c r="I1587" i="1"/>
  <c r="F1571" i="1"/>
  <c r="F1604" i="1"/>
  <c r="H1635" i="1"/>
  <c r="G1630" i="1"/>
  <c r="H1632" i="1"/>
  <c r="I1634" i="1"/>
  <c r="I1635" i="1"/>
  <c r="J1637" i="1"/>
  <c r="H1582" i="1"/>
  <c r="J1583" i="1"/>
  <c r="F1585" i="1"/>
  <c r="H1586" i="1"/>
  <c r="J1587" i="1"/>
  <c r="F1589" i="1"/>
  <c r="I1590" i="1"/>
  <c r="G1571" i="1"/>
  <c r="F1592" i="1"/>
  <c r="H1604" i="1"/>
  <c r="K1635" i="1"/>
  <c r="J1632" i="1"/>
  <c r="F1637" i="1"/>
  <c r="H1592" i="1"/>
  <c r="F1597" i="1"/>
  <c r="K1631" i="1"/>
  <c r="F1635" i="1"/>
  <c r="G1637" i="1"/>
  <c r="I1592" i="1"/>
  <c r="G1597" i="1"/>
  <c r="K1604" i="1"/>
  <c r="K1630" i="1"/>
  <c r="G1635" i="1"/>
  <c r="H1597" i="1"/>
  <c r="F1631" i="1"/>
  <c r="F1632" i="1"/>
  <c r="K1592" i="1"/>
  <c r="F1630" i="1"/>
  <c r="G1631" i="1"/>
  <c r="I1636" i="1"/>
  <c r="G1604" i="1"/>
  <c r="I1632" i="1"/>
  <c r="K1632" i="1"/>
  <c r="G1629" i="1"/>
  <c r="G1618" i="1"/>
  <c r="I1630" i="1"/>
  <c r="I1631" i="1"/>
  <c r="J1634" i="1"/>
  <c r="K1636" i="1"/>
  <c r="F1636" i="1"/>
  <c r="K1629" i="1"/>
  <c r="K1618" i="1"/>
  <c r="F1633" i="1"/>
  <c r="F1634" i="1"/>
  <c r="G1636" i="1"/>
  <c r="H1637" i="1"/>
  <c r="G1633" i="1"/>
  <c r="G1634" i="1"/>
  <c r="J1604" i="1"/>
  <c r="F1629" i="1"/>
  <c r="F1618" i="1"/>
  <c r="G1632" i="1"/>
  <c r="H1633" i="1"/>
  <c r="H1634" i="1"/>
  <c r="H1636" i="1"/>
  <c r="I1637" i="1"/>
  <c r="J1629" i="1"/>
  <c r="J1618" i="1"/>
  <c r="I1597" i="1"/>
  <c r="H1629" i="1"/>
  <c r="H1618" i="1"/>
  <c r="H1630" i="1"/>
  <c r="H1631" i="1"/>
  <c r="I1633" i="1"/>
  <c r="J1635" i="1"/>
  <c r="J1636" i="1"/>
  <c r="K1637" i="1"/>
  <c r="I1618" i="1"/>
  <c r="I1550" i="1"/>
  <c r="F1550" i="1"/>
  <c r="K1545" i="1"/>
  <c r="H1550" i="1"/>
  <c r="J1550" i="1"/>
  <c r="F1545" i="1"/>
  <c r="G1545" i="1"/>
  <c r="I1557" i="1"/>
  <c r="J1557" i="1"/>
  <c r="I1545" i="1"/>
  <c r="K1557" i="1"/>
  <c r="F1557" i="1"/>
  <c r="G1557" i="1"/>
  <c r="H1548" i="1"/>
  <c r="H1557" i="1"/>
  <c r="G1548" i="1"/>
  <c r="E1549" i="1"/>
  <c r="G1554" i="1" l="1"/>
  <c r="I1608" i="1"/>
  <c r="G1601" i="1"/>
  <c r="G1561" i="1"/>
  <c r="F1601" i="1"/>
  <c r="H1561" i="1"/>
  <c r="I1561" i="1"/>
  <c r="F1561" i="1"/>
  <c r="H1608" i="1"/>
  <c r="I1601" i="1"/>
  <c r="F1608" i="1"/>
  <c r="H1554" i="1"/>
  <c r="I1554" i="1"/>
  <c r="G1608" i="1"/>
  <c r="H1601" i="1"/>
  <c r="F1554" i="1"/>
  <c r="F1591" i="1"/>
  <c r="H1591" i="1"/>
  <c r="I1591" i="1"/>
  <c r="G1591" i="1"/>
  <c r="K1591" i="1"/>
  <c r="J1591" i="1"/>
  <c r="I1544" i="1"/>
  <c r="H1544" i="1"/>
  <c r="G1544" i="1"/>
  <c r="E1550" i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F1544" i="1"/>
  <c r="K1544" i="1"/>
  <c r="J1544" i="1"/>
  <c r="E1517" i="1" l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G1516" i="1" l="1"/>
  <c r="I1516" i="1"/>
  <c r="F1516" i="1"/>
  <c r="J1516" i="1"/>
  <c r="H1516" i="1"/>
  <c r="K1516" i="1"/>
  <c r="K1539" i="1" l="1"/>
  <c r="J1539" i="1"/>
  <c r="I1539" i="1"/>
  <c r="H1539" i="1"/>
  <c r="G1539" i="1"/>
  <c r="F1539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K1541" i="1"/>
  <c r="J1541" i="1"/>
  <c r="I1541" i="1"/>
  <c r="H1541" i="1"/>
  <c r="G1541" i="1"/>
  <c r="F1541" i="1"/>
  <c r="K1540" i="1"/>
  <c r="J1540" i="1"/>
  <c r="I1540" i="1"/>
  <c r="H1540" i="1"/>
  <c r="G1540" i="1"/>
  <c r="F1540" i="1"/>
  <c r="G1535" i="1"/>
  <c r="H1535" i="1"/>
  <c r="I1535" i="1"/>
  <c r="J1535" i="1"/>
  <c r="K1535" i="1"/>
  <c r="G1536" i="1"/>
  <c r="H1536" i="1"/>
  <c r="I1536" i="1"/>
  <c r="J1536" i="1"/>
  <c r="K1536" i="1"/>
  <c r="G1537" i="1"/>
  <c r="H1537" i="1"/>
  <c r="I1537" i="1"/>
  <c r="J1537" i="1"/>
  <c r="K1537" i="1"/>
  <c r="G1538" i="1"/>
  <c r="H1538" i="1"/>
  <c r="I1538" i="1"/>
  <c r="J1538" i="1"/>
  <c r="K1538" i="1"/>
  <c r="F1538" i="1"/>
  <c r="F1537" i="1"/>
  <c r="F1536" i="1"/>
  <c r="F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F1534" i="1"/>
  <c r="F1533" i="1"/>
  <c r="F1532" i="1"/>
  <c r="F1531" i="1"/>
  <c r="E1496" i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12" i="1" s="1"/>
  <c r="E1513" i="1" s="1"/>
  <c r="E1514" i="1" s="1"/>
  <c r="E1515" i="1" s="1"/>
  <c r="E1494" i="1"/>
  <c r="K1491" i="1"/>
  <c r="J1491" i="1"/>
  <c r="I1491" i="1"/>
  <c r="H1491" i="1"/>
  <c r="G1491" i="1"/>
  <c r="F1491" i="1"/>
  <c r="F1489" i="1"/>
  <c r="F1488" i="1" s="1"/>
  <c r="E1487" i="1"/>
  <c r="K1484" i="1"/>
  <c r="J1484" i="1"/>
  <c r="I1484" i="1"/>
  <c r="H1484" i="1"/>
  <c r="G1484" i="1"/>
  <c r="F1484" i="1"/>
  <c r="K1489" i="1"/>
  <c r="K1488" i="1" s="1"/>
  <c r="J1489" i="1"/>
  <c r="J1488" i="1" s="1"/>
  <c r="I1489" i="1"/>
  <c r="I1488" i="1" s="1"/>
  <c r="H1489" i="1"/>
  <c r="H1488" i="1" s="1"/>
  <c r="G1489" i="1"/>
  <c r="G1488" i="1" s="1"/>
  <c r="K1482" i="1"/>
  <c r="K1481" i="1" s="1"/>
  <c r="J1482" i="1"/>
  <c r="J1481" i="1" s="1"/>
  <c r="I1482" i="1"/>
  <c r="I1481" i="1" s="1"/>
  <c r="H1482" i="1"/>
  <c r="H1481" i="1" s="1"/>
  <c r="G1482" i="1"/>
  <c r="G1481" i="1" s="1"/>
  <c r="F1482" i="1"/>
  <c r="F1481" i="1" s="1"/>
  <c r="E1434" i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K1496" i="1" l="1"/>
  <c r="I1496" i="1"/>
  <c r="K1501" i="1"/>
  <c r="G1496" i="1"/>
  <c r="F1501" i="1"/>
  <c r="J1501" i="1"/>
  <c r="I1501" i="1"/>
  <c r="H1501" i="1"/>
  <c r="J1496" i="1"/>
  <c r="G1501" i="1"/>
  <c r="F1506" i="1"/>
  <c r="G1506" i="1"/>
  <c r="H1506" i="1"/>
  <c r="I1506" i="1"/>
  <c r="J1506" i="1"/>
  <c r="K1506" i="1"/>
  <c r="E1507" i="1"/>
  <c r="E1508" i="1" s="1"/>
  <c r="E1509" i="1" s="1"/>
  <c r="E1510" i="1" s="1"/>
  <c r="F1496" i="1"/>
  <c r="H1496" i="1"/>
  <c r="I1487" i="1"/>
  <c r="H1494" i="1"/>
  <c r="E1511" i="1"/>
  <c r="J1487" i="1"/>
  <c r="I1494" i="1"/>
  <c r="K1487" i="1"/>
  <c r="J1494" i="1"/>
  <c r="K1494" i="1"/>
  <c r="F1487" i="1"/>
  <c r="G1487" i="1"/>
  <c r="F1494" i="1"/>
  <c r="H1487" i="1"/>
  <c r="G1494" i="1"/>
  <c r="F1469" i="1"/>
  <c r="K1475" i="1"/>
  <c r="G1479" i="1"/>
  <c r="H1479" i="1"/>
  <c r="I1469" i="1"/>
  <c r="H1460" i="1"/>
  <c r="J1473" i="1"/>
  <c r="G1467" i="1"/>
  <c r="F1461" i="1"/>
  <c r="H1464" i="1"/>
  <c r="K1467" i="1"/>
  <c r="G1478" i="1"/>
  <c r="G1475" i="1"/>
  <c r="F1462" i="1"/>
  <c r="G1462" i="1"/>
  <c r="J1469" i="1"/>
  <c r="K1459" i="1"/>
  <c r="I1466" i="1"/>
  <c r="H1423" i="1"/>
  <c r="I1473" i="1"/>
  <c r="F1473" i="1"/>
  <c r="H1472" i="1"/>
  <c r="H1477" i="1"/>
  <c r="H1468" i="1"/>
  <c r="I1464" i="1"/>
  <c r="J1466" i="1"/>
  <c r="H1478" i="1"/>
  <c r="F1460" i="1"/>
  <c r="J1464" i="1"/>
  <c r="K1466" i="1"/>
  <c r="G1469" i="1"/>
  <c r="F1476" i="1"/>
  <c r="I1478" i="1"/>
  <c r="I1423" i="1"/>
  <c r="G1460" i="1"/>
  <c r="F1467" i="1"/>
  <c r="G1476" i="1"/>
  <c r="G1398" i="1"/>
  <c r="H1462" i="1"/>
  <c r="H1469" i="1"/>
  <c r="J1471" i="1"/>
  <c r="K1473" i="1"/>
  <c r="H1476" i="1"/>
  <c r="K1478" i="1"/>
  <c r="I1462" i="1"/>
  <c r="I1476" i="1"/>
  <c r="K1423" i="1"/>
  <c r="I1460" i="1"/>
  <c r="J1462" i="1"/>
  <c r="J1476" i="1"/>
  <c r="J1460" i="1"/>
  <c r="H1467" i="1"/>
  <c r="K1460" i="1"/>
  <c r="F1463" i="1"/>
  <c r="I1467" i="1"/>
  <c r="G1472" i="1"/>
  <c r="J1467" i="1"/>
  <c r="I1474" i="1"/>
  <c r="I1479" i="1"/>
  <c r="G1471" i="1"/>
  <c r="G1461" i="1"/>
  <c r="F1468" i="1"/>
  <c r="G1470" i="1"/>
  <c r="J1479" i="1"/>
  <c r="F1475" i="1"/>
  <c r="K1479" i="1"/>
  <c r="G1480" i="1"/>
  <c r="H1473" i="1"/>
  <c r="K1470" i="1"/>
  <c r="K1477" i="1"/>
  <c r="J1480" i="1"/>
  <c r="F1478" i="1"/>
  <c r="K1480" i="1"/>
  <c r="G1458" i="1"/>
  <c r="K1471" i="1"/>
  <c r="F1479" i="1"/>
  <c r="F1465" i="1"/>
  <c r="K1462" i="1"/>
  <c r="G1465" i="1"/>
  <c r="F1472" i="1"/>
  <c r="G1474" i="1"/>
  <c r="K1476" i="1"/>
  <c r="I1471" i="1"/>
  <c r="F1458" i="1"/>
  <c r="F1433" i="1"/>
  <c r="H1433" i="1"/>
  <c r="F1404" i="1"/>
  <c r="I1433" i="1"/>
  <c r="I1458" i="1"/>
  <c r="H1465" i="1"/>
  <c r="K1469" i="1"/>
  <c r="H1474" i="1"/>
  <c r="F1477" i="1"/>
  <c r="J1478" i="1"/>
  <c r="G1404" i="1"/>
  <c r="J1433" i="1"/>
  <c r="J1458" i="1"/>
  <c r="G1463" i="1"/>
  <c r="F1470" i="1"/>
  <c r="G1477" i="1"/>
  <c r="H1398" i="1"/>
  <c r="H1458" i="1"/>
  <c r="K1474" i="1"/>
  <c r="J1398" i="1"/>
  <c r="K1464" i="1"/>
  <c r="I1465" i="1"/>
  <c r="I1463" i="1"/>
  <c r="J1472" i="1"/>
  <c r="K1404" i="1"/>
  <c r="G1409" i="1"/>
  <c r="H1461" i="1"/>
  <c r="J1463" i="1"/>
  <c r="K1465" i="1"/>
  <c r="H1470" i="1"/>
  <c r="F1480" i="1"/>
  <c r="F1474" i="1"/>
  <c r="H1404" i="1"/>
  <c r="H1463" i="1"/>
  <c r="K1433" i="1"/>
  <c r="K1458" i="1"/>
  <c r="I1472" i="1"/>
  <c r="I1404" i="1"/>
  <c r="J1423" i="1"/>
  <c r="J1404" i="1"/>
  <c r="J1465" i="1"/>
  <c r="G1459" i="1"/>
  <c r="F1466" i="1"/>
  <c r="I1470" i="1"/>
  <c r="I1477" i="1"/>
  <c r="H1471" i="1"/>
  <c r="K1398" i="1"/>
  <c r="F1459" i="1"/>
  <c r="G1468" i="1"/>
  <c r="K1472" i="1"/>
  <c r="H1409" i="1"/>
  <c r="I1409" i="1"/>
  <c r="I1461" i="1"/>
  <c r="K1463" i="1"/>
  <c r="I1468" i="1"/>
  <c r="J1470" i="1"/>
  <c r="H1480" i="1"/>
  <c r="J1409" i="1"/>
  <c r="H1459" i="1"/>
  <c r="F1464" i="1"/>
  <c r="G1466" i="1"/>
  <c r="J1468" i="1"/>
  <c r="G1473" i="1"/>
  <c r="H1475" i="1"/>
  <c r="J1477" i="1"/>
  <c r="I1480" i="1"/>
  <c r="I1398" i="1"/>
  <c r="K1409" i="1"/>
  <c r="F1423" i="1"/>
  <c r="I1459" i="1"/>
  <c r="J1461" i="1"/>
  <c r="G1464" i="1"/>
  <c r="K1468" i="1"/>
  <c r="F1471" i="1"/>
  <c r="I1475" i="1"/>
  <c r="J1474" i="1"/>
  <c r="F1409" i="1"/>
  <c r="F1398" i="1"/>
  <c r="G1423" i="1"/>
  <c r="J1459" i="1"/>
  <c r="K1461" i="1"/>
  <c r="H1466" i="1"/>
  <c r="J1475" i="1"/>
  <c r="G1433" i="1"/>
  <c r="I1510" i="1" l="1"/>
  <c r="H1510" i="1"/>
  <c r="G1510" i="1"/>
  <c r="H1427" i="1"/>
  <c r="F1510" i="1"/>
  <c r="H1413" i="1"/>
  <c r="I1427" i="1"/>
  <c r="I1413" i="1"/>
  <c r="F1413" i="1"/>
  <c r="G1427" i="1"/>
  <c r="G1413" i="1"/>
  <c r="F1427" i="1"/>
  <c r="K1495" i="1"/>
  <c r="I1495" i="1"/>
  <c r="J1495" i="1"/>
  <c r="H1495" i="1"/>
  <c r="F1495" i="1"/>
  <c r="G1495" i="1"/>
  <c r="G1397" i="1"/>
  <c r="H1397" i="1"/>
  <c r="F1397" i="1"/>
  <c r="J1397" i="1"/>
  <c r="I1397" i="1"/>
  <c r="K1397" i="1"/>
  <c r="E1350" i="1" l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K1320" i="1" l="1"/>
  <c r="J1386" i="1"/>
  <c r="H1393" i="1"/>
  <c r="J1396" i="1"/>
  <c r="G1380" i="1"/>
  <c r="I1383" i="1"/>
  <c r="K1386" i="1"/>
  <c r="I1393" i="1"/>
  <c r="K1396" i="1"/>
  <c r="H1380" i="1"/>
  <c r="J1383" i="1"/>
  <c r="J1393" i="1"/>
  <c r="I1380" i="1"/>
  <c r="K1383" i="1"/>
  <c r="I1390" i="1"/>
  <c r="K1393" i="1"/>
  <c r="J1380" i="1"/>
  <c r="H1387" i="1"/>
  <c r="J1390" i="1"/>
  <c r="F1394" i="1"/>
  <c r="K1380" i="1"/>
  <c r="I1387" i="1"/>
  <c r="K1390" i="1"/>
  <c r="G1394" i="1"/>
  <c r="F1381" i="1"/>
  <c r="J1387" i="1"/>
  <c r="F1391" i="1"/>
  <c r="H1394" i="1"/>
  <c r="G1381" i="1"/>
  <c r="I1384" i="1"/>
  <c r="K1387" i="1"/>
  <c r="I1394" i="1"/>
  <c r="J1349" i="1"/>
  <c r="H1381" i="1"/>
  <c r="J1384" i="1"/>
  <c r="J1394" i="1"/>
  <c r="I1381" i="1"/>
  <c r="K1384" i="1"/>
  <c r="I1391" i="1"/>
  <c r="K1394" i="1"/>
  <c r="J1381" i="1"/>
  <c r="F1385" i="1"/>
  <c r="J1391" i="1"/>
  <c r="F1395" i="1"/>
  <c r="K1381" i="1"/>
  <c r="I1388" i="1"/>
  <c r="K1391" i="1"/>
  <c r="G1395" i="1"/>
  <c r="J1388" i="1"/>
  <c r="H1395" i="1"/>
  <c r="I1385" i="1"/>
  <c r="K1388" i="1"/>
  <c r="G1392" i="1"/>
  <c r="I1395" i="1"/>
  <c r="F1379" i="1"/>
  <c r="H1382" i="1"/>
  <c r="J1385" i="1"/>
  <c r="H1392" i="1"/>
  <c r="J1395" i="1"/>
  <c r="G1379" i="1"/>
  <c r="I1382" i="1"/>
  <c r="K1385" i="1"/>
  <c r="G1389" i="1"/>
  <c r="I1392" i="1"/>
  <c r="K1395" i="1"/>
  <c r="H1379" i="1"/>
  <c r="J1382" i="1"/>
  <c r="J1392" i="1"/>
  <c r="I1379" i="1"/>
  <c r="K1382" i="1"/>
  <c r="I1389" i="1"/>
  <c r="K1392" i="1"/>
  <c r="G1396" i="1"/>
  <c r="J1379" i="1"/>
  <c r="J1389" i="1"/>
  <c r="H1396" i="1"/>
  <c r="K1379" i="1"/>
  <c r="G1383" i="1"/>
  <c r="I1386" i="1"/>
  <c r="K1389" i="1"/>
  <c r="G1393" i="1"/>
  <c r="I1396" i="1"/>
  <c r="H1390" i="1"/>
  <c r="H1383" i="1"/>
  <c r="H1384" i="1"/>
  <c r="H1391" i="1"/>
  <c r="H1388" i="1"/>
  <c r="H1385" i="1"/>
  <c r="H1389" i="1"/>
  <c r="H1386" i="1"/>
  <c r="G1390" i="1"/>
  <c r="G1387" i="1"/>
  <c r="G1384" i="1"/>
  <c r="G1391" i="1"/>
  <c r="G1388" i="1"/>
  <c r="G1385" i="1"/>
  <c r="G1382" i="1"/>
  <c r="G1320" i="1"/>
  <c r="G1386" i="1"/>
  <c r="F1383" i="1"/>
  <c r="F1393" i="1"/>
  <c r="F1380" i="1"/>
  <c r="F1390" i="1"/>
  <c r="F1387" i="1"/>
  <c r="F1384" i="1"/>
  <c r="F1388" i="1"/>
  <c r="F1382" i="1"/>
  <c r="F1392" i="1"/>
  <c r="F1389" i="1"/>
  <c r="F1386" i="1"/>
  <c r="F1396" i="1"/>
  <c r="K1349" i="1"/>
  <c r="F1349" i="1"/>
  <c r="G1349" i="1"/>
  <c r="H1349" i="1"/>
  <c r="I1349" i="1"/>
  <c r="F1320" i="1"/>
  <c r="J1320" i="1"/>
  <c r="H1320" i="1"/>
  <c r="I1320" i="1"/>
  <c r="K1339" i="1"/>
  <c r="G1339" i="1"/>
  <c r="H1339" i="1"/>
  <c r="F1339" i="1"/>
  <c r="I1339" i="1"/>
  <c r="J1339" i="1"/>
  <c r="K1325" i="1"/>
  <c r="F1325" i="1"/>
  <c r="J1325" i="1"/>
  <c r="I1325" i="1"/>
  <c r="H1325" i="1"/>
  <c r="G1325" i="1"/>
  <c r="G1329" i="1" l="1"/>
  <c r="H1329" i="1"/>
  <c r="F1329" i="1"/>
  <c r="I1329" i="1"/>
  <c r="F1343" i="1"/>
  <c r="H1343" i="1"/>
  <c r="I1343" i="1"/>
  <c r="G1343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K1376" i="1"/>
  <c r="J1376" i="1"/>
  <c r="I1376" i="1"/>
  <c r="H1376" i="1"/>
  <c r="G1376" i="1"/>
  <c r="F1376" i="1"/>
  <c r="K1375" i="1"/>
  <c r="J1375" i="1"/>
  <c r="I1375" i="1"/>
  <c r="H1375" i="1"/>
  <c r="G1375" i="1"/>
  <c r="F1375" i="1"/>
  <c r="F1314" i="1" l="1"/>
  <c r="F1313" i="1" s="1"/>
  <c r="F1374" i="1"/>
  <c r="G1314" i="1"/>
  <c r="G1313" i="1" s="1"/>
  <c r="G1374" i="1"/>
  <c r="H1314" i="1"/>
  <c r="H1313" i="1" s="1"/>
  <c r="H1374" i="1"/>
  <c r="I1314" i="1"/>
  <c r="I1313" i="1" s="1"/>
  <c r="I1374" i="1"/>
  <c r="J1314" i="1"/>
  <c r="J1313" i="1" s="1"/>
  <c r="J1374" i="1"/>
  <c r="K1314" i="1"/>
  <c r="K1313" i="1" s="1"/>
  <c r="K1374" i="1"/>
  <c r="E1263" i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212" i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F1211" i="1" l="1"/>
  <c r="G1211" i="1"/>
  <c r="H1211" i="1"/>
  <c r="I1211" i="1"/>
  <c r="J1211" i="1"/>
  <c r="K1211" i="1"/>
  <c r="K1297" i="1" l="1"/>
  <c r="J1297" i="1"/>
  <c r="I1297" i="1"/>
  <c r="H1297" i="1"/>
  <c r="G1297" i="1"/>
  <c r="F1297" i="1"/>
  <c r="F1312" i="1"/>
  <c r="F1311" i="1"/>
  <c r="F1310" i="1"/>
  <c r="F1309" i="1"/>
  <c r="F1308" i="1"/>
  <c r="E1179" i="1"/>
  <c r="E1180" i="1" s="1"/>
  <c r="E1181" i="1" s="1"/>
  <c r="E1182" i="1" s="1"/>
  <c r="E1156" i="1"/>
  <c r="E1157" i="1" s="1"/>
  <c r="E1158" i="1" s="1"/>
  <c r="E1159" i="1" s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9" i="1"/>
  <c r="J1299" i="1"/>
  <c r="I1299" i="1"/>
  <c r="H1299" i="1"/>
  <c r="G1299" i="1"/>
  <c r="F1299" i="1"/>
  <c r="K1298" i="1"/>
  <c r="J1298" i="1"/>
  <c r="I1298" i="1"/>
  <c r="H1298" i="1"/>
  <c r="G1298" i="1"/>
  <c r="F1298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87" i="1"/>
  <c r="J1287" i="1"/>
  <c r="I1287" i="1"/>
  <c r="H1287" i="1"/>
  <c r="G1287" i="1"/>
  <c r="F1287" i="1"/>
  <c r="K1286" i="1"/>
  <c r="J1286" i="1"/>
  <c r="I1286" i="1"/>
  <c r="H1286" i="1"/>
  <c r="G1286" i="1"/>
  <c r="F1286" i="1"/>
  <c r="K1269" i="1" l="1"/>
  <c r="J1270" i="1"/>
  <c r="F1275" i="1"/>
  <c r="J1269" i="1"/>
  <c r="K1270" i="1"/>
  <c r="G1275" i="1"/>
  <c r="F1271" i="1"/>
  <c r="F1272" i="1"/>
  <c r="H1275" i="1"/>
  <c r="G1271" i="1"/>
  <c r="G1272" i="1"/>
  <c r="I1275" i="1"/>
  <c r="F1268" i="1"/>
  <c r="H1271" i="1"/>
  <c r="H1272" i="1"/>
  <c r="J1275" i="1"/>
  <c r="G1268" i="1"/>
  <c r="I1271" i="1"/>
  <c r="I1272" i="1"/>
  <c r="K1275" i="1"/>
  <c r="H1268" i="1"/>
  <c r="J1271" i="1"/>
  <c r="J1272" i="1"/>
  <c r="I1268" i="1"/>
  <c r="K1271" i="1"/>
  <c r="K1272" i="1"/>
  <c r="J1268" i="1"/>
  <c r="F1273" i="1"/>
  <c r="K1268" i="1"/>
  <c r="G1273" i="1"/>
  <c r="F1269" i="1"/>
  <c r="H1273" i="1"/>
  <c r="G1269" i="1"/>
  <c r="I1273" i="1"/>
  <c r="H1269" i="1"/>
  <c r="J1273" i="1"/>
  <c r="I1269" i="1"/>
  <c r="K1273" i="1"/>
  <c r="F1274" i="1"/>
  <c r="G1274" i="1"/>
  <c r="F1270" i="1"/>
  <c r="H1274" i="1"/>
  <c r="G1270" i="1"/>
  <c r="I1274" i="1"/>
  <c r="H1270" i="1"/>
  <c r="J1274" i="1"/>
  <c r="I1270" i="1"/>
  <c r="K1274" i="1"/>
  <c r="K1201" i="1"/>
  <c r="K1178" i="1"/>
  <c r="H1201" i="1"/>
  <c r="J1201" i="1"/>
  <c r="F1178" i="1"/>
  <c r="H1178" i="1"/>
  <c r="J1178" i="1"/>
  <c r="F1201" i="1"/>
  <c r="I1178" i="1"/>
  <c r="G1201" i="1"/>
  <c r="G1178" i="1"/>
  <c r="I1201" i="1"/>
  <c r="I1205" i="1" l="1"/>
  <c r="F1205" i="1"/>
  <c r="H1182" i="1"/>
  <c r="I1182" i="1"/>
  <c r="H1205" i="1"/>
  <c r="G1182" i="1"/>
  <c r="G1205" i="1"/>
  <c r="F1182" i="1"/>
  <c r="J1312" i="1"/>
  <c r="K1312" i="1"/>
  <c r="G1312" i="1"/>
  <c r="I1312" i="1"/>
  <c r="H1312" i="1"/>
  <c r="K1285" i="1" l="1"/>
  <c r="J1285" i="1"/>
  <c r="I1285" i="1"/>
  <c r="H1285" i="1"/>
  <c r="G1285" i="1"/>
  <c r="F1285" i="1"/>
  <c r="K1284" i="1"/>
  <c r="J1284" i="1"/>
  <c r="I1284" i="1"/>
  <c r="H1284" i="1"/>
  <c r="G1284" i="1"/>
  <c r="F1284" i="1"/>
  <c r="K1283" i="1"/>
  <c r="J1283" i="1"/>
  <c r="I1283" i="1"/>
  <c r="H1283" i="1"/>
  <c r="G1283" i="1"/>
  <c r="F1283" i="1"/>
  <c r="F1282" i="1"/>
  <c r="G1282" i="1"/>
  <c r="H1282" i="1"/>
  <c r="I1282" i="1"/>
  <c r="J1282" i="1"/>
  <c r="K1282" i="1"/>
  <c r="K1281" i="1"/>
  <c r="J1281" i="1"/>
  <c r="I1281" i="1"/>
  <c r="H1281" i="1"/>
  <c r="G1281" i="1"/>
  <c r="F1281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J1155" i="1" l="1"/>
  <c r="G1155" i="1"/>
  <c r="H1155" i="1"/>
  <c r="F1155" i="1"/>
  <c r="I1155" i="1"/>
  <c r="K1155" i="1"/>
  <c r="K1278" i="1"/>
  <c r="J1278" i="1"/>
  <c r="I1278" i="1"/>
  <c r="H1278" i="1"/>
  <c r="G1278" i="1"/>
  <c r="F1278" i="1"/>
  <c r="K1277" i="1"/>
  <c r="J1277" i="1"/>
  <c r="I1277" i="1"/>
  <c r="H1277" i="1"/>
  <c r="G1277" i="1"/>
  <c r="F1277" i="1"/>
  <c r="K1276" i="1"/>
  <c r="J1276" i="1"/>
  <c r="I1276" i="1"/>
  <c r="H1276" i="1"/>
  <c r="G1276" i="1"/>
  <c r="F1276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K1265" i="1"/>
  <c r="J1265" i="1"/>
  <c r="I1265" i="1"/>
  <c r="H1265" i="1"/>
  <c r="G1265" i="1"/>
  <c r="F1265" i="1"/>
  <c r="K1264" i="1"/>
  <c r="J1264" i="1"/>
  <c r="I1264" i="1"/>
  <c r="H1264" i="1"/>
  <c r="G1264" i="1"/>
  <c r="F1264" i="1"/>
  <c r="J1263" i="1"/>
  <c r="I1263" i="1"/>
  <c r="H1263" i="1"/>
  <c r="G1263" i="1"/>
  <c r="F1263" i="1"/>
  <c r="H1159" i="1" l="1"/>
  <c r="I1159" i="1"/>
  <c r="G1159" i="1"/>
  <c r="F1159" i="1"/>
  <c r="K1135" i="1"/>
  <c r="K1263" i="1"/>
  <c r="J1135" i="1"/>
  <c r="F1135" i="1"/>
  <c r="I1135" i="1"/>
  <c r="G1135" i="1"/>
  <c r="H1135" i="1"/>
  <c r="K1150" i="1"/>
  <c r="H1150" i="1"/>
  <c r="J1150" i="1"/>
  <c r="G1150" i="1"/>
  <c r="I1150" i="1"/>
  <c r="F1150" i="1"/>
  <c r="G1129" i="1"/>
  <c r="G1128" i="1"/>
  <c r="G1127" i="1"/>
  <c r="G1126" i="1"/>
  <c r="K1134" i="1" l="1"/>
  <c r="H7" i="4" s="1"/>
  <c r="F1134" i="1"/>
  <c r="C7" i="4" s="1"/>
  <c r="H1134" i="1"/>
  <c r="E7" i="4" s="1"/>
  <c r="G1134" i="1"/>
  <c r="D7" i="4" s="1"/>
  <c r="I1134" i="1"/>
  <c r="F7" i="4" s="1"/>
  <c r="J1134" i="1"/>
  <c r="G7" i="4" s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K1073" i="1"/>
  <c r="J1073" i="1"/>
  <c r="I1073" i="1"/>
  <c r="H1073" i="1"/>
  <c r="G1073" i="1"/>
  <c r="F1073" i="1"/>
  <c r="G1071" i="1"/>
  <c r="H1071" i="1"/>
  <c r="I1071" i="1"/>
  <c r="J1071" i="1"/>
  <c r="K1071" i="1"/>
  <c r="F1071" i="1"/>
  <c r="K1063" i="1"/>
  <c r="J1063" i="1"/>
  <c r="I1063" i="1"/>
  <c r="H1063" i="1"/>
  <c r="G1063" i="1"/>
  <c r="F1063" i="1"/>
  <c r="J1058" i="1"/>
  <c r="H1058" i="1"/>
  <c r="G1058" i="1"/>
  <c r="F1058" i="1"/>
  <c r="K451" i="1"/>
  <c r="J451" i="1"/>
  <c r="I451" i="1"/>
  <c r="H451" i="1"/>
  <c r="G451" i="1"/>
  <c r="F451" i="1"/>
  <c r="K221" i="1"/>
  <c r="J221" i="1"/>
  <c r="I221" i="1"/>
  <c r="H221" i="1"/>
  <c r="G221" i="1"/>
  <c r="F221" i="1"/>
  <c r="C213" i="1"/>
  <c r="C211" i="1"/>
  <c r="C189" i="1"/>
  <c r="E1034" i="1"/>
  <c r="E1035" i="1" s="1"/>
  <c r="K1038" i="1"/>
  <c r="J1038" i="1"/>
  <c r="I1038" i="1"/>
  <c r="H1038" i="1"/>
  <c r="G1038" i="1"/>
  <c r="F1038" i="1"/>
  <c r="K1036" i="1"/>
  <c r="J1036" i="1"/>
  <c r="I1036" i="1"/>
  <c r="H1036" i="1"/>
  <c r="G1036" i="1"/>
  <c r="F1036" i="1"/>
  <c r="K1029" i="1"/>
  <c r="J1029" i="1"/>
  <c r="I1029" i="1"/>
  <c r="H1029" i="1"/>
  <c r="G1029" i="1"/>
  <c r="F1029" i="1"/>
  <c r="K1024" i="1"/>
  <c r="J1024" i="1"/>
  <c r="I1024" i="1"/>
  <c r="H1024" i="1"/>
  <c r="G1024" i="1"/>
  <c r="F1024" i="1"/>
  <c r="G1026" i="1"/>
  <c r="H1026" i="1"/>
  <c r="I1026" i="1"/>
  <c r="J1026" i="1"/>
  <c r="K1026" i="1"/>
  <c r="F1026" i="1"/>
  <c r="K1021" i="1"/>
  <c r="J1021" i="1"/>
  <c r="I1021" i="1"/>
  <c r="H1021" i="1"/>
  <c r="G1021" i="1"/>
  <c r="F1021" i="1"/>
  <c r="F1118" i="1" l="1"/>
  <c r="K1118" i="1"/>
  <c r="J1118" i="1"/>
  <c r="I1118" i="1"/>
  <c r="H1118" i="1"/>
  <c r="G1118" i="1"/>
  <c r="F1120" i="1"/>
  <c r="I1084" i="1"/>
  <c r="G1120" i="1"/>
  <c r="H1120" i="1"/>
  <c r="K1084" i="1"/>
  <c r="I1120" i="1"/>
  <c r="J1120" i="1"/>
  <c r="K1120" i="1"/>
  <c r="I1070" i="1"/>
  <c r="I1096" i="1" s="1"/>
  <c r="H1101" i="1"/>
  <c r="J1101" i="1"/>
  <c r="F1086" i="1"/>
  <c r="G1086" i="1"/>
  <c r="H1086" i="1"/>
  <c r="I1086" i="1"/>
  <c r="F1101" i="1"/>
  <c r="J1086" i="1"/>
  <c r="I1101" i="1"/>
  <c r="K1086" i="1"/>
  <c r="G1101" i="1"/>
  <c r="K1101" i="1"/>
  <c r="K1058" i="1"/>
  <c r="I1058" i="1"/>
  <c r="H1060" i="1"/>
  <c r="I1060" i="1"/>
  <c r="F1060" i="1"/>
  <c r="K1070" i="1"/>
  <c r="K1096" i="1" s="1"/>
  <c r="J1070" i="1"/>
  <c r="J1096" i="1" s="1"/>
  <c r="G1070" i="1"/>
  <c r="G1096" i="1" s="1"/>
  <c r="G1060" i="1"/>
  <c r="H1070" i="1"/>
  <c r="H1096" i="1" s="1"/>
  <c r="J1060" i="1"/>
  <c r="K1060" i="1"/>
  <c r="F1070" i="1"/>
  <c r="F1096" i="1" s="1"/>
  <c r="I1035" i="1"/>
  <c r="G1035" i="1"/>
  <c r="K1035" i="1"/>
  <c r="F1035" i="1"/>
  <c r="H1035" i="1"/>
  <c r="J1035" i="1"/>
  <c r="F1023" i="1"/>
  <c r="F1020" i="1" s="1"/>
  <c r="G1023" i="1"/>
  <c r="G1020" i="1" s="1"/>
  <c r="H1023" i="1"/>
  <c r="H1020" i="1" s="1"/>
  <c r="I1023" i="1"/>
  <c r="I1020" i="1" s="1"/>
  <c r="J1023" i="1"/>
  <c r="J1020" i="1" s="1"/>
  <c r="K1023" i="1"/>
  <c r="K1020" i="1" s="1"/>
  <c r="F1091" i="1" l="1"/>
  <c r="G1091" i="1"/>
  <c r="I1091" i="1"/>
  <c r="H1091" i="1"/>
  <c r="J1091" i="1"/>
  <c r="K1091" i="1"/>
  <c r="G1084" i="1"/>
  <c r="G1097" i="1"/>
  <c r="G1130" i="1"/>
  <c r="K1097" i="1"/>
  <c r="K1130" i="1"/>
  <c r="J1099" i="1"/>
  <c r="J1131" i="1"/>
  <c r="I1099" i="1"/>
  <c r="I1131" i="1"/>
  <c r="F1099" i="1"/>
  <c r="F1131" i="1"/>
  <c r="J1084" i="1"/>
  <c r="I1103" i="1"/>
  <c r="I1133" i="1"/>
  <c r="F1103" i="1"/>
  <c r="F1133" i="1"/>
  <c r="F1084" i="1"/>
  <c r="K1103" i="1"/>
  <c r="K1133" i="1"/>
  <c r="G1099" i="1"/>
  <c r="G1131" i="1"/>
  <c r="H1103" i="1"/>
  <c r="H1133" i="1"/>
  <c r="J1103" i="1"/>
  <c r="J1133" i="1"/>
  <c r="F1097" i="1"/>
  <c r="F1130" i="1"/>
  <c r="H1099" i="1"/>
  <c r="H1131" i="1"/>
  <c r="G1103" i="1"/>
  <c r="G1133" i="1"/>
  <c r="J1097" i="1"/>
  <c r="J1130" i="1"/>
  <c r="I1097" i="1"/>
  <c r="I1130" i="1"/>
  <c r="H1097" i="1"/>
  <c r="H1130" i="1"/>
  <c r="K1099" i="1"/>
  <c r="K1131" i="1"/>
  <c r="H1084" i="1"/>
  <c r="K1014" i="1" l="1"/>
  <c r="K1015" i="1" s="1"/>
  <c r="K1112" i="1" s="1"/>
  <c r="J1014" i="1"/>
  <c r="J1015" i="1" s="1"/>
  <c r="J1112" i="1" s="1"/>
  <c r="I1014" i="1"/>
  <c r="I1015" i="1" s="1"/>
  <c r="I1112" i="1" s="1"/>
  <c r="H1014" i="1"/>
  <c r="H1015" i="1" s="1"/>
  <c r="H1112" i="1" s="1"/>
  <c r="G1014" i="1"/>
  <c r="G1015" i="1" s="1"/>
  <c r="G1112" i="1" s="1"/>
  <c r="F1014" i="1"/>
  <c r="F1015" i="1" s="1"/>
  <c r="F1112" i="1" s="1"/>
  <c r="G1019" i="1" l="1"/>
  <c r="G1018" i="1" s="1"/>
  <c r="G1117" i="1"/>
  <c r="H1019" i="1"/>
  <c r="H1018" i="1" s="1"/>
  <c r="H1117" i="1"/>
  <c r="I1019" i="1"/>
  <c r="I1018" i="1" s="1"/>
  <c r="I1117" i="1"/>
  <c r="J1019" i="1"/>
  <c r="J1018" i="1" s="1"/>
  <c r="J1117" i="1"/>
  <c r="K1019" i="1"/>
  <c r="K1018" i="1" s="1"/>
  <c r="K1117" i="1"/>
  <c r="F1019" i="1"/>
  <c r="F1018" i="1" s="1"/>
  <c r="F1117" i="1"/>
  <c r="K1034" i="1" l="1"/>
  <c r="J1034" i="1"/>
  <c r="J1031" i="1"/>
  <c r="J1032" i="1" s="1"/>
  <c r="I1031" i="1"/>
  <c r="I1032" i="1" s="1"/>
  <c r="H1031" i="1"/>
  <c r="H1032" i="1" s="1"/>
  <c r="F1031" i="1"/>
  <c r="F1032" i="1" s="1"/>
  <c r="G1031" i="1" l="1"/>
  <c r="G1032" i="1" s="1"/>
  <c r="K1031" i="1"/>
  <c r="K1032" i="1" s="1"/>
  <c r="H1034" i="1" l="1"/>
  <c r="I1034" i="1"/>
  <c r="F1034" i="1"/>
  <c r="G1034" i="1"/>
  <c r="G1055" i="1" l="1"/>
  <c r="J1055" i="1"/>
  <c r="K1055" i="1"/>
  <c r="F1055" i="1"/>
  <c r="H1055" i="1"/>
  <c r="I1055" i="1"/>
  <c r="H1081" i="1" l="1"/>
  <c r="F1081" i="1"/>
  <c r="J1081" i="1"/>
  <c r="G1081" i="1"/>
  <c r="K1081" i="1"/>
  <c r="I1081" i="1"/>
  <c r="K1110" i="1" l="1"/>
  <c r="J1110" i="1"/>
  <c r="I1110" i="1"/>
  <c r="H1110" i="1"/>
  <c r="G1110" i="1"/>
  <c r="F1110" i="1"/>
  <c r="G1109" i="1"/>
  <c r="H1109" i="1"/>
  <c r="I1109" i="1"/>
  <c r="J1109" i="1"/>
  <c r="K1109" i="1"/>
  <c r="G1123" i="1"/>
  <c r="H1123" i="1"/>
  <c r="I1123" i="1"/>
  <c r="J1123" i="1"/>
  <c r="K1123" i="1"/>
  <c r="F1109" i="1"/>
  <c r="K1121" i="1"/>
  <c r="J1121" i="1"/>
  <c r="I1121" i="1"/>
  <c r="H1121" i="1"/>
  <c r="G1121" i="1"/>
  <c r="K1108" i="1"/>
  <c r="J1108" i="1"/>
  <c r="I1108" i="1"/>
  <c r="H1108" i="1"/>
  <c r="G1108" i="1"/>
  <c r="K1107" i="1"/>
  <c r="J1107" i="1"/>
  <c r="I1107" i="1"/>
  <c r="H1107" i="1"/>
  <c r="G1107" i="1"/>
  <c r="F1121" i="1"/>
  <c r="F1108" i="1"/>
  <c r="F1107" i="1"/>
  <c r="K992" i="1" l="1"/>
  <c r="J992" i="1"/>
  <c r="F1122" i="1"/>
  <c r="F1111" i="1"/>
  <c r="G1111" i="1"/>
  <c r="G1122" i="1"/>
  <c r="H1111" i="1"/>
  <c r="H1122" i="1"/>
  <c r="I1111" i="1"/>
  <c r="I1122" i="1"/>
  <c r="J1111" i="1"/>
  <c r="J1122" i="1"/>
  <c r="K1111" i="1"/>
  <c r="K1122" i="1"/>
  <c r="F1125" i="1"/>
  <c r="G1125" i="1"/>
  <c r="H1125" i="1"/>
  <c r="I1125" i="1"/>
  <c r="J1125" i="1"/>
  <c r="F988" i="1"/>
  <c r="F1123" i="1"/>
  <c r="K1125" i="1"/>
  <c r="G995" i="1"/>
  <c r="F995" i="1"/>
  <c r="H995" i="1"/>
  <c r="K995" i="1"/>
  <c r="G992" i="1"/>
  <c r="G1012" i="1" s="1"/>
  <c r="G1009" i="1" s="1"/>
  <c r="H992" i="1"/>
  <c r="H1005" i="1" s="1"/>
  <c r="H1124" i="1" s="1"/>
  <c r="I992" i="1"/>
  <c r="I1003" i="1" s="1"/>
  <c r="I1000" i="1" s="1"/>
  <c r="I995" i="1"/>
  <c r="J995" i="1"/>
  <c r="F992" i="1"/>
  <c r="F1005" i="1" s="1"/>
  <c r="F1124" i="1" s="1"/>
  <c r="I975" i="1"/>
  <c r="F990" i="1"/>
  <c r="F991" i="1" s="1"/>
  <c r="J990" i="1"/>
  <c r="J991" i="1" s="1"/>
  <c r="J988" i="1"/>
  <c r="K990" i="1"/>
  <c r="K991" i="1" s="1"/>
  <c r="K988" i="1"/>
  <c r="I990" i="1"/>
  <c r="I991" i="1" s="1"/>
  <c r="I988" i="1"/>
  <c r="H990" i="1"/>
  <c r="H991" i="1" s="1"/>
  <c r="H988" i="1"/>
  <c r="G990" i="1"/>
  <c r="G991" i="1" s="1"/>
  <c r="G988" i="1"/>
  <c r="K985" i="1"/>
  <c r="K984" i="1" s="1"/>
  <c r="J985" i="1"/>
  <c r="J984" i="1" s="1"/>
  <c r="I985" i="1"/>
  <c r="I984" i="1" s="1"/>
  <c r="H985" i="1"/>
  <c r="H984" i="1" s="1"/>
  <c r="G985" i="1"/>
  <c r="G984" i="1" s="1"/>
  <c r="F985" i="1"/>
  <c r="F987" i="1" s="1"/>
  <c r="F986" i="1" s="1"/>
  <c r="K972" i="1"/>
  <c r="H975" i="1"/>
  <c r="J975" i="1"/>
  <c r="K975" i="1"/>
  <c r="G975" i="1"/>
  <c r="H972" i="1"/>
  <c r="I972" i="1"/>
  <c r="G972" i="1"/>
  <c r="J972" i="1"/>
  <c r="F975" i="1"/>
  <c r="F972" i="1"/>
  <c r="K1003" i="1" l="1"/>
  <c r="K1000" i="1" s="1"/>
  <c r="K1005" i="1"/>
  <c r="K1004" i="1" s="1"/>
  <c r="J1012" i="1"/>
  <c r="J1009" i="1" s="1"/>
  <c r="J1005" i="1"/>
  <c r="J1002" i="1"/>
  <c r="J999" i="1" s="1"/>
  <c r="K1012" i="1"/>
  <c r="K1009" i="1" s="1"/>
  <c r="J1003" i="1"/>
  <c r="J1000" i="1" s="1"/>
  <c r="G1005" i="1"/>
  <c r="G1124" i="1" s="1"/>
  <c r="K1002" i="1"/>
  <c r="I1002" i="1"/>
  <c r="I999" i="1" s="1"/>
  <c r="I998" i="1" s="1"/>
  <c r="J1050" i="1"/>
  <c r="J1047" i="1" s="1"/>
  <c r="J1048" i="1" s="1"/>
  <c r="G1050" i="1"/>
  <c r="G1047" i="1" s="1"/>
  <c r="G1048" i="1" s="1"/>
  <c r="H1050" i="1"/>
  <c r="H1047" i="1" s="1"/>
  <c r="H1048" i="1" s="1"/>
  <c r="I1050" i="1"/>
  <c r="I1047" i="1" s="1"/>
  <c r="I1048" i="1" s="1"/>
  <c r="I1005" i="1"/>
  <c r="I1124" i="1" s="1"/>
  <c r="K1050" i="1"/>
  <c r="K1047" i="1" s="1"/>
  <c r="K1048" i="1" s="1"/>
  <c r="F1050" i="1"/>
  <c r="F1047" i="1" s="1"/>
  <c r="F1048" i="1" s="1"/>
  <c r="G1002" i="1"/>
  <c r="G999" i="1" s="1"/>
  <c r="H1002" i="1"/>
  <c r="H999" i="1" s="1"/>
  <c r="H1003" i="1"/>
  <c r="H1000" i="1" s="1"/>
  <c r="G1003" i="1"/>
  <c r="G1000" i="1" s="1"/>
  <c r="F1003" i="1"/>
  <c r="F1000" i="1" s="1"/>
  <c r="I1012" i="1"/>
  <c r="I1009" i="1" s="1"/>
  <c r="H1011" i="1"/>
  <c r="H1008" i="1" s="1"/>
  <c r="F1002" i="1"/>
  <c r="F999" i="1" s="1"/>
  <c r="F1012" i="1"/>
  <c r="F1009" i="1" s="1"/>
  <c r="H1012" i="1"/>
  <c r="H1004" i="1"/>
  <c r="F1011" i="1"/>
  <c r="F1008" i="1" s="1"/>
  <c r="F1004" i="1"/>
  <c r="G987" i="1"/>
  <c r="G986" i="1" s="1"/>
  <c r="G982" i="1" s="1"/>
  <c r="J987" i="1"/>
  <c r="J986" i="1" s="1"/>
  <c r="J982" i="1" s="1"/>
  <c r="H987" i="1"/>
  <c r="H986" i="1" s="1"/>
  <c r="H982" i="1" s="1"/>
  <c r="K987" i="1"/>
  <c r="K986" i="1" s="1"/>
  <c r="K982" i="1" s="1"/>
  <c r="I987" i="1"/>
  <c r="I986" i="1" s="1"/>
  <c r="I982" i="1" s="1"/>
  <c r="F984" i="1"/>
  <c r="F982" i="1" s="1"/>
  <c r="K1124" i="1" l="1"/>
  <c r="K1011" i="1"/>
  <c r="J1124" i="1"/>
  <c r="J1004" i="1"/>
  <c r="J1011" i="1"/>
  <c r="K1001" i="1"/>
  <c r="K999" i="1"/>
  <c r="K998" i="1" s="1"/>
  <c r="I1001" i="1"/>
  <c r="J998" i="1"/>
  <c r="G1004" i="1"/>
  <c r="G1011" i="1"/>
  <c r="G1010" i="1" s="1"/>
  <c r="J1001" i="1"/>
  <c r="I1004" i="1"/>
  <c r="I1011" i="1"/>
  <c r="I1010" i="1" s="1"/>
  <c r="F998" i="1"/>
  <c r="G998" i="1"/>
  <c r="F1007" i="1"/>
  <c r="H998" i="1"/>
  <c r="H1001" i="1"/>
  <c r="G1001" i="1"/>
  <c r="H1010" i="1"/>
  <c r="H1009" i="1"/>
  <c r="H1007" i="1" s="1"/>
  <c r="F1001" i="1"/>
  <c r="F1010" i="1"/>
  <c r="K1008" i="1" l="1"/>
  <c r="K1007" i="1" s="1"/>
  <c r="K1010" i="1"/>
  <c r="J1008" i="1"/>
  <c r="J1007" i="1" s="1"/>
  <c r="J1010" i="1"/>
  <c r="G1008" i="1"/>
  <c r="G1007" i="1" s="1"/>
  <c r="I1008" i="1"/>
  <c r="I1007" i="1" s="1"/>
  <c r="K945" i="1"/>
  <c r="J945" i="1"/>
  <c r="I945" i="1"/>
  <c r="H967" i="1"/>
  <c r="G945" i="1"/>
  <c r="F945" i="1"/>
  <c r="K943" i="1"/>
  <c r="J943" i="1"/>
  <c r="I943" i="1"/>
  <c r="H943" i="1"/>
  <c r="G943" i="1"/>
  <c r="F943" i="1"/>
  <c r="K929" i="1"/>
  <c r="J929" i="1"/>
  <c r="I929" i="1"/>
  <c r="H929" i="1"/>
  <c r="G929" i="1"/>
  <c r="F929" i="1"/>
  <c r="H925" i="1"/>
  <c r="G925" i="1"/>
  <c r="F925" i="1"/>
  <c r="G913" i="1"/>
  <c r="H913" i="1"/>
  <c r="I913" i="1"/>
  <c r="J913" i="1"/>
  <c r="K913" i="1"/>
  <c r="F913" i="1"/>
  <c r="G911" i="1"/>
  <c r="G966" i="1" s="1"/>
  <c r="H911" i="1"/>
  <c r="I911" i="1"/>
  <c r="I966" i="1" s="1"/>
  <c r="J911" i="1"/>
  <c r="J966" i="1" s="1"/>
  <c r="K911" i="1"/>
  <c r="K966" i="1" s="1"/>
  <c r="F911" i="1"/>
  <c r="F966" i="1" s="1"/>
  <c r="J954" i="1"/>
  <c r="H954" i="1"/>
  <c r="F954" i="1"/>
  <c r="K803" i="1"/>
  <c r="J803" i="1"/>
  <c r="I803" i="1"/>
  <c r="H803" i="1"/>
  <c r="G803" i="1"/>
  <c r="F803" i="1"/>
  <c r="F801" i="1"/>
  <c r="G801" i="1"/>
  <c r="H801" i="1"/>
  <c r="I801" i="1"/>
  <c r="J801" i="1"/>
  <c r="K801" i="1"/>
  <c r="C708" i="1"/>
  <c r="E710" i="1"/>
  <c r="C710" i="1"/>
  <c r="H966" i="1" l="1"/>
  <c r="K925" i="1"/>
  <c r="H945" i="1"/>
  <c r="F957" i="1"/>
  <c r="G954" i="1"/>
  <c r="F947" i="1"/>
  <c r="G947" i="1"/>
  <c r="I954" i="1"/>
  <c r="H947" i="1"/>
  <c r="I947" i="1"/>
  <c r="I953" i="1"/>
  <c r="K954" i="1"/>
  <c r="G958" i="1"/>
  <c r="J947" i="1"/>
  <c r="J953" i="1"/>
  <c r="H958" i="1"/>
  <c r="K947" i="1"/>
  <c r="F967" i="1"/>
  <c r="I958" i="1"/>
  <c r="F949" i="1"/>
  <c r="K967" i="1"/>
  <c r="G949" i="1"/>
  <c r="J967" i="1"/>
  <c r="K958" i="1"/>
  <c r="H949" i="1"/>
  <c r="I967" i="1"/>
  <c r="I949" i="1"/>
  <c r="J949" i="1"/>
  <c r="G967" i="1"/>
  <c r="K949" i="1"/>
  <c r="H953" i="1"/>
  <c r="G953" i="1"/>
  <c r="F958" i="1"/>
  <c r="J958" i="1"/>
  <c r="F953" i="1"/>
  <c r="K953" i="1"/>
  <c r="I925" i="1"/>
  <c r="J931" i="1"/>
  <c r="F935" i="1"/>
  <c r="F931" i="1"/>
  <c r="H935" i="1"/>
  <c r="G931" i="1"/>
  <c r="J935" i="1"/>
  <c r="J925" i="1"/>
  <c r="K935" i="1"/>
  <c r="G935" i="1"/>
  <c r="I931" i="1"/>
  <c r="I935" i="1"/>
  <c r="K931" i="1"/>
  <c r="H931" i="1"/>
  <c r="F898" i="1"/>
  <c r="K710" i="1"/>
  <c r="J710" i="1"/>
  <c r="I710" i="1"/>
  <c r="H710" i="1"/>
  <c r="G710" i="1"/>
  <c r="F710" i="1"/>
  <c r="G708" i="1"/>
  <c r="H708" i="1"/>
  <c r="I708" i="1"/>
  <c r="J708" i="1"/>
  <c r="K708" i="1"/>
  <c r="F708" i="1"/>
  <c r="H711" i="1" l="1"/>
  <c r="F711" i="1"/>
  <c r="I711" i="1"/>
  <c r="J711" i="1"/>
  <c r="K711" i="1"/>
  <c r="G711" i="1"/>
  <c r="K737" i="1"/>
  <c r="J737" i="1"/>
  <c r="I737" i="1"/>
  <c r="H737" i="1"/>
  <c r="G737" i="1"/>
  <c r="F737" i="1"/>
  <c r="K721" i="1"/>
  <c r="J721" i="1"/>
  <c r="I721" i="1"/>
  <c r="H721" i="1"/>
  <c r="G721" i="1"/>
  <c r="F721" i="1"/>
  <c r="C713" i="1"/>
  <c r="C715" i="1" s="1"/>
  <c r="C712" i="1"/>
  <c r="C714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7" i="1" s="1"/>
  <c r="C738" i="1" s="1"/>
  <c r="C739" i="1" s="1"/>
  <c r="C740" i="1" s="1"/>
  <c r="C741" i="1" s="1"/>
  <c r="C742" i="1" s="1"/>
  <c r="K713" i="1"/>
  <c r="J713" i="1"/>
  <c r="C697" i="1"/>
  <c r="C698" i="1" s="1"/>
  <c r="C699" i="1" s="1"/>
  <c r="C700" i="1" s="1"/>
  <c r="C701" i="1" s="1"/>
  <c r="C702" i="1" s="1"/>
  <c r="K682" i="1"/>
  <c r="J682" i="1"/>
  <c r="I682" i="1"/>
  <c r="H682" i="1"/>
  <c r="G682" i="1"/>
  <c r="F682" i="1"/>
  <c r="C678" i="1"/>
  <c r="C679" i="1" s="1"/>
  <c r="C681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61" i="1"/>
  <c r="C662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F713" i="1" l="1"/>
  <c r="G713" i="1"/>
  <c r="H713" i="1"/>
  <c r="I713" i="1"/>
  <c r="I730" i="1"/>
  <c r="C743" i="1"/>
  <c r="C744" i="1" s="1"/>
  <c r="C745" i="1" s="1"/>
  <c r="F731" i="1"/>
  <c r="J699" i="1"/>
  <c r="J730" i="1"/>
  <c r="H684" i="1"/>
  <c r="F730" i="1"/>
  <c r="K715" i="1"/>
  <c r="K712" i="1" s="1"/>
  <c r="J728" i="1"/>
  <c r="I715" i="1"/>
  <c r="G730" i="1"/>
  <c r="H715" i="1"/>
  <c r="K730" i="1"/>
  <c r="C734" i="1"/>
  <c r="C735" i="1" s="1"/>
  <c r="C736" i="1" s="1"/>
  <c r="G731" i="1"/>
  <c r="H730" i="1"/>
  <c r="H731" i="1"/>
  <c r="I731" i="1"/>
  <c r="J731" i="1"/>
  <c r="F715" i="1"/>
  <c r="K731" i="1"/>
  <c r="G715" i="1"/>
  <c r="F728" i="1"/>
  <c r="G728" i="1"/>
  <c r="H728" i="1"/>
  <c r="J715" i="1"/>
  <c r="J712" i="1" s="1"/>
  <c r="I728" i="1"/>
  <c r="K728" i="1"/>
  <c r="K699" i="1"/>
  <c r="H699" i="1"/>
  <c r="I698" i="1"/>
  <c r="G699" i="1"/>
  <c r="I684" i="1"/>
  <c r="J697" i="1"/>
  <c r="I699" i="1"/>
  <c r="G697" i="1"/>
  <c r="I697" i="1"/>
  <c r="H698" i="1"/>
  <c r="J678" i="1"/>
  <c r="F698" i="1"/>
  <c r="G698" i="1"/>
  <c r="J698" i="1"/>
  <c r="G693" i="1"/>
  <c r="F697" i="1"/>
  <c r="F699" i="1"/>
  <c r="K697" i="1"/>
  <c r="K698" i="1"/>
  <c r="G684" i="1"/>
  <c r="H697" i="1"/>
  <c r="C703" i="1"/>
  <c r="F678" i="1"/>
  <c r="J693" i="1"/>
  <c r="I693" i="1"/>
  <c r="K684" i="1"/>
  <c r="F693" i="1"/>
  <c r="H693" i="1"/>
  <c r="G678" i="1"/>
  <c r="K693" i="1"/>
  <c r="F684" i="1"/>
  <c r="K678" i="1"/>
  <c r="H678" i="1"/>
  <c r="I678" i="1"/>
  <c r="J684" i="1"/>
  <c r="C680" i="1"/>
  <c r="C663" i="1"/>
  <c r="C682" i="1"/>
  <c r="C683" i="1" s="1"/>
  <c r="F712" i="1" l="1"/>
  <c r="G712" i="1"/>
  <c r="H712" i="1"/>
  <c r="I712" i="1"/>
  <c r="H739" i="1"/>
  <c r="H733" i="1" s="1"/>
  <c r="H750" i="1" s="1"/>
  <c r="F739" i="1"/>
  <c r="F733" i="1" s="1"/>
  <c r="F732" i="1" s="1"/>
  <c r="I739" i="1"/>
  <c r="I733" i="1" s="1"/>
  <c r="I745" i="1" s="1"/>
  <c r="J739" i="1"/>
  <c r="J733" i="1" s="1"/>
  <c r="F729" i="1"/>
  <c r="C746" i="1"/>
  <c r="C747" i="1" s="1"/>
  <c r="C748" i="1" s="1"/>
  <c r="C749" i="1"/>
  <c r="C750" i="1" s="1"/>
  <c r="C751" i="1" s="1"/>
  <c r="F723" i="1"/>
  <c r="F720" i="1" s="1"/>
  <c r="F719" i="1" s="1"/>
  <c r="G739" i="1"/>
  <c r="G733" i="1" s="1"/>
  <c r="I729" i="1"/>
  <c r="J729" i="1"/>
  <c r="K739" i="1"/>
  <c r="K733" i="1" s="1"/>
  <c r="I723" i="1"/>
  <c r="I720" i="1" s="1"/>
  <c r="I719" i="1" s="1"/>
  <c r="H723" i="1"/>
  <c r="H720" i="1" s="1"/>
  <c r="H719" i="1" s="1"/>
  <c r="K729" i="1"/>
  <c r="G729" i="1"/>
  <c r="K723" i="1"/>
  <c r="K720" i="1" s="1"/>
  <c r="K719" i="1" s="1"/>
  <c r="J723" i="1"/>
  <c r="J720" i="1" s="1"/>
  <c r="J719" i="1" s="1"/>
  <c r="G723" i="1"/>
  <c r="G720" i="1" s="1"/>
  <c r="G719" i="1" s="1"/>
  <c r="H729" i="1"/>
  <c r="H677" i="1"/>
  <c r="E11" i="4" s="1"/>
  <c r="K677" i="1"/>
  <c r="H11" i="4" s="1"/>
  <c r="I677" i="1"/>
  <c r="F11" i="4" s="1"/>
  <c r="F677" i="1"/>
  <c r="C11" i="4" s="1"/>
  <c r="J677" i="1"/>
  <c r="G11" i="4" s="1"/>
  <c r="G677" i="1"/>
  <c r="D11" i="4" s="1"/>
  <c r="K736" i="1" l="1" a="1"/>
  <c r="K736" i="1" s="1"/>
  <c r="K734" i="1" a="1"/>
  <c r="K734" i="1" s="1"/>
  <c r="J736" i="1" a="1"/>
  <c r="J736" i="1" s="1"/>
  <c r="J756" i="1" s="1"/>
  <c r="J734" i="1" a="1"/>
  <c r="J734" i="1" s="1"/>
  <c r="J743" i="1" s="1"/>
  <c r="J732" i="1"/>
  <c r="H746" i="1"/>
  <c r="H756" i="1"/>
  <c r="H732" i="1"/>
  <c r="H753" i="1"/>
  <c r="H749" i="1"/>
  <c r="H760" i="1"/>
  <c r="H752" i="1"/>
  <c r="H743" i="1"/>
  <c r="H759" i="1"/>
  <c r="F753" i="1"/>
  <c r="I757" i="1"/>
  <c r="I744" i="1"/>
  <c r="I748" i="1"/>
  <c r="H747" i="1"/>
  <c r="I755" i="1"/>
  <c r="I752" i="1"/>
  <c r="I743" i="1"/>
  <c r="I753" i="1"/>
  <c r="I749" i="1"/>
  <c r="I759" i="1"/>
  <c r="I746" i="1"/>
  <c r="H757" i="1"/>
  <c r="I756" i="1"/>
  <c r="H744" i="1"/>
  <c r="I732" i="1"/>
  <c r="H754" i="1"/>
  <c r="H751" i="1"/>
  <c r="H748" i="1"/>
  <c r="F744" i="1"/>
  <c r="F754" i="1"/>
  <c r="F758" i="1"/>
  <c r="F751" i="1"/>
  <c r="F748" i="1"/>
  <c r="F752" i="1"/>
  <c r="F745" i="1"/>
  <c r="F755" i="1"/>
  <c r="F747" i="1"/>
  <c r="F757" i="1"/>
  <c r="F749" i="1"/>
  <c r="F759" i="1"/>
  <c r="F756" i="1"/>
  <c r="F750" i="1"/>
  <c r="F760" i="1"/>
  <c r="F746" i="1"/>
  <c r="F743" i="1"/>
  <c r="H758" i="1"/>
  <c r="I747" i="1"/>
  <c r="H745" i="1"/>
  <c r="H755" i="1"/>
  <c r="I754" i="1"/>
  <c r="I751" i="1"/>
  <c r="I750" i="1"/>
  <c r="I760" i="1"/>
  <c r="I758" i="1"/>
  <c r="K732" i="1"/>
  <c r="C752" i="1"/>
  <c r="C753" i="1" s="1"/>
  <c r="C754" i="1" s="1"/>
  <c r="C755" i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G732" i="1"/>
  <c r="G753" i="1"/>
  <c r="G743" i="1"/>
  <c r="G756" i="1"/>
  <c r="G746" i="1"/>
  <c r="G760" i="1"/>
  <c r="G750" i="1"/>
  <c r="G759" i="1"/>
  <c r="G749" i="1"/>
  <c r="G752" i="1"/>
  <c r="G755" i="1"/>
  <c r="G745" i="1"/>
  <c r="G757" i="1"/>
  <c r="G747" i="1"/>
  <c r="G758" i="1"/>
  <c r="G748" i="1"/>
  <c r="G751" i="1"/>
  <c r="G754" i="1"/>
  <c r="G744" i="1"/>
  <c r="E599" i="1"/>
  <c r="E600" i="1" s="1"/>
  <c r="E601" i="1" s="1"/>
  <c r="J757" i="1" l="1"/>
  <c r="J760" i="1"/>
  <c r="J745" i="1"/>
  <c r="J746" i="1"/>
  <c r="J759" i="1"/>
  <c r="J758" i="1"/>
  <c r="J755" i="1"/>
  <c r="J735" i="1"/>
  <c r="J747" i="1"/>
  <c r="J744" i="1"/>
  <c r="J748" i="1"/>
  <c r="C779" i="1"/>
  <c r="C780" i="1" s="1"/>
  <c r="C781" i="1" s="1"/>
  <c r="C778" i="1"/>
  <c r="K759" i="1"/>
  <c r="K756" i="1"/>
  <c r="K755" i="1"/>
  <c r="K758" i="1"/>
  <c r="K757" i="1"/>
  <c r="K760" i="1"/>
  <c r="K735" i="1"/>
  <c r="K746" i="1"/>
  <c r="K745" i="1"/>
  <c r="K748" i="1"/>
  <c r="K743" i="1"/>
  <c r="K744" i="1"/>
  <c r="K747" i="1"/>
  <c r="J656" i="1"/>
  <c r="J639" i="1"/>
  <c r="K656" i="1"/>
  <c r="F657" i="1"/>
  <c r="G657" i="1"/>
  <c r="F654" i="1"/>
  <c r="H657" i="1"/>
  <c r="G654" i="1"/>
  <c r="I657" i="1"/>
  <c r="H654" i="1"/>
  <c r="J657" i="1"/>
  <c r="I654" i="1"/>
  <c r="K657" i="1"/>
  <c r="J654" i="1"/>
  <c r="F649" i="1"/>
  <c r="F658" i="1"/>
  <c r="K654" i="1"/>
  <c r="G649" i="1"/>
  <c r="G658" i="1"/>
  <c r="F655" i="1"/>
  <c r="H649" i="1"/>
  <c r="H658" i="1"/>
  <c r="K639" i="1"/>
  <c r="G655" i="1"/>
  <c r="I649" i="1"/>
  <c r="I658" i="1"/>
  <c r="H655" i="1"/>
  <c r="J649" i="1"/>
  <c r="J658" i="1"/>
  <c r="I655" i="1"/>
  <c r="K649" i="1"/>
  <c r="K658" i="1"/>
  <c r="J655" i="1"/>
  <c r="F659" i="1"/>
  <c r="K655" i="1"/>
  <c r="G659" i="1"/>
  <c r="G589" i="1"/>
  <c r="F656" i="1"/>
  <c r="H659" i="1"/>
  <c r="G656" i="1"/>
  <c r="I659" i="1"/>
  <c r="H656" i="1"/>
  <c r="J659" i="1"/>
  <c r="I656" i="1"/>
  <c r="K659" i="1"/>
  <c r="F644" i="1"/>
  <c r="H644" i="1"/>
  <c r="G644" i="1"/>
  <c r="I644" i="1"/>
  <c r="K644" i="1"/>
  <c r="J644" i="1"/>
  <c r="F639" i="1"/>
  <c r="H629" i="1"/>
  <c r="G639" i="1"/>
  <c r="J629" i="1"/>
  <c r="I639" i="1"/>
  <c r="H639" i="1"/>
  <c r="H634" i="1"/>
  <c r="G634" i="1"/>
  <c r="K634" i="1"/>
  <c r="I634" i="1"/>
  <c r="F634" i="1"/>
  <c r="J634" i="1"/>
  <c r="J632" i="1" s="1"/>
  <c r="G624" i="1"/>
  <c r="H624" i="1"/>
  <c r="I624" i="1"/>
  <c r="J624" i="1"/>
  <c r="F624" i="1"/>
  <c r="K624" i="1"/>
  <c r="F629" i="1"/>
  <c r="G629" i="1"/>
  <c r="I629" i="1"/>
  <c r="K629" i="1"/>
  <c r="F585" i="1"/>
  <c r="F584" i="1" s="1"/>
  <c r="G611" i="1"/>
  <c r="F599" i="1"/>
  <c r="G599" i="1"/>
  <c r="H589" i="1"/>
  <c r="F603" i="1"/>
  <c r="I589" i="1"/>
  <c r="F597" i="1"/>
  <c r="H597" i="1"/>
  <c r="G597" i="1"/>
  <c r="G596" i="1"/>
  <c r="I596" i="1"/>
  <c r="I606" i="1"/>
  <c r="J596" i="1"/>
  <c r="I611" i="1"/>
  <c r="H596" i="1"/>
  <c r="G585" i="1"/>
  <c r="G584" i="1" s="1"/>
  <c r="J589" i="1"/>
  <c r="K589" i="1"/>
  <c r="K596" i="1"/>
  <c r="G603" i="1"/>
  <c r="J597" i="1"/>
  <c r="K597" i="1"/>
  <c r="F606" i="1"/>
  <c r="I597" i="1"/>
  <c r="H603" i="1"/>
  <c r="I585" i="1"/>
  <c r="I584" i="1" s="1"/>
  <c r="J585" i="1"/>
  <c r="J584" i="1" s="1"/>
  <c r="K585" i="1"/>
  <c r="K584" i="1" s="1"/>
  <c r="F611" i="1"/>
  <c r="G592" i="1"/>
  <c r="F596" i="1"/>
  <c r="H585" i="1"/>
  <c r="H584" i="1" s="1"/>
  <c r="H592" i="1"/>
  <c r="H599" i="1"/>
  <c r="I592" i="1"/>
  <c r="I599" i="1"/>
  <c r="J599" i="1"/>
  <c r="K599" i="1"/>
  <c r="H611" i="1"/>
  <c r="K611" i="1"/>
  <c r="J611" i="1"/>
  <c r="I603" i="1"/>
  <c r="F610" i="1"/>
  <c r="J603" i="1"/>
  <c r="G610" i="1"/>
  <c r="K603" i="1"/>
  <c r="H610" i="1"/>
  <c r="I610" i="1"/>
  <c r="J610" i="1"/>
  <c r="K610" i="1"/>
  <c r="J592" i="1"/>
  <c r="K592" i="1"/>
  <c r="J606" i="1"/>
  <c r="K606" i="1"/>
  <c r="G606" i="1"/>
  <c r="H606" i="1"/>
  <c r="F592" i="1"/>
  <c r="F589" i="1"/>
  <c r="J750" i="1" l="1"/>
  <c r="J749" i="1"/>
  <c r="J752" i="1"/>
  <c r="J753" i="1"/>
  <c r="J751" i="1"/>
  <c r="J754" i="1"/>
  <c r="K622" i="1"/>
  <c r="J622" i="1"/>
  <c r="C783" i="1"/>
  <c r="C784" i="1" s="1"/>
  <c r="C782" i="1"/>
  <c r="K632" i="1"/>
  <c r="K749" i="1"/>
  <c r="K752" i="1"/>
  <c r="K751" i="1"/>
  <c r="K753" i="1"/>
  <c r="K754" i="1"/>
  <c r="K750" i="1"/>
  <c r="G642" i="1"/>
  <c r="H632" i="1"/>
  <c r="F622" i="1"/>
  <c r="I622" i="1"/>
  <c r="F642" i="1"/>
  <c r="G622" i="1"/>
  <c r="F632" i="1"/>
  <c r="G588" i="1"/>
  <c r="I632" i="1"/>
  <c r="G632" i="1"/>
  <c r="H642" i="1"/>
  <c r="H622" i="1"/>
  <c r="J642" i="1"/>
  <c r="I642" i="1"/>
  <c r="K642" i="1"/>
  <c r="H588" i="1"/>
  <c r="I588" i="1"/>
  <c r="J602" i="1"/>
  <c r="F602" i="1"/>
  <c r="K602" i="1"/>
  <c r="I602" i="1"/>
  <c r="H602" i="1"/>
  <c r="G602" i="1"/>
  <c r="J588" i="1"/>
  <c r="K588" i="1"/>
  <c r="F588" i="1"/>
  <c r="H10" i="4" l="1"/>
  <c r="C10" i="4"/>
  <c r="G10" i="4"/>
  <c r="F10" i="4"/>
  <c r="E10" i="4"/>
  <c r="D10" i="4"/>
  <c r="C786" i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785" i="1"/>
  <c r="C880" i="1" l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15" i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K504" i="1"/>
  <c r="J504" i="1"/>
  <c r="I504" i="1"/>
  <c r="H504" i="1"/>
  <c r="G504" i="1"/>
  <c r="F504" i="1"/>
  <c r="C895" i="1" l="1"/>
  <c r="C896" i="1" s="1"/>
  <c r="C897" i="1" s="1"/>
  <c r="C894" i="1"/>
  <c r="C853" i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924" i="1"/>
  <c r="C925" i="1" s="1"/>
  <c r="C926" i="1" s="1"/>
  <c r="C927" i="1" s="1"/>
  <c r="C928" i="1" s="1"/>
  <c r="C929" i="1" s="1"/>
  <c r="C930" i="1" s="1"/>
  <c r="C931" i="1" s="1"/>
  <c r="C932" i="1" s="1"/>
  <c r="C934" i="1" l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33" i="1"/>
  <c r="C899" i="1"/>
  <c r="C900" i="1" s="1"/>
  <c r="C898" i="1"/>
  <c r="C953" i="1" l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01" i="1"/>
  <c r="C920" i="1" l="1"/>
  <c r="C921" i="1" s="1"/>
  <c r="C922" i="1" s="1"/>
  <c r="C970" i="1" s="1"/>
  <c r="C971" i="1" s="1"/>
  <c r="C918" i="1"/>
  <c r="C919" i="1" s="1"/>
  <c r="C923" i="1" l="1"/>
  <c r="C972" i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6" i="1" l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034" i="1"/>
  <c r="C1035" i="1" s="1"/>
  <c r="F959" i="1"/>
  <c r="G959" i="1"/>
  <c r="H959" i="1"/>
  <c r="I959" i="1"/>
  <c r="J959" i="1"/>
  <c r="K959" i="1"/>
  <c r="C1107" i="1" l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J919" i="1"/>
  <c r="J918" i="1" s="1"/>
  <c r="I919" i="1"/>
  <c r="I918" i="1" s="1"/>
  <c r="H919" i="1"/>
  <c r="H918" i="1" s="1"/>
  <c r="G919" i="1"/>
  <c r="G918" i="1" s="1"/>
  <c r="F919" i="1"/>
  <c r="F918" i="1" s="1"/>
  <c r="K919" i="1"/>
  <c r="K918" i="1" s="1"/>
  <c r="J812" i="1"/>
  <c r="I812" i="1"/>
  <c r="H812" i="1"/>
  <c r="G812" i="1"/>
  <c r="F812" i="1"/>
  <c r="K812" i="1"/>
  <c r="C1150" i="1" l="1"/>
  <c r="C1151" i="1" s="1"/>
  <c r="C1152" i="1" s="1"/>
  <c r="C1153" i="1" s="1"/>
  <c r="C1154" i="1" s="1"/>
  <c r="C1155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45" i="1"/>
  <c r="C1146" i="1" s="1"/>
  <c r="C1147" i="1" s="1"/>
  <c r="C1148" i="1" s="1"/>
  <c r="C1149" i="1" s="1"/>
  <c r="F969" i="1"/>
  <c r="J969" i="1"/>
  <c r="H969" i="1"/>
  <c r="K969" i="1"/>
  <c r="G969" i="1"/>
  <c r="I969" i="1"/>
  <c r="K957" i="1"/>
  <c r="F892" i="1"/>
  <c r="G957" i="1"/>
  <c r="H957" i="1"/>
  <c r="I957" i="1"/>
  <c r="J957" i="1"/>
  <c r="C1156" i="1" l="1"/>
  <c r="C1157" i="1" s="1"/>
  <c r="C1158" i="1" s="1"/>
  <c r="C1159" i="1" s="1"/>
  <c r="C1183" i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179" i="1"/>
  <c r="C1180" i="1" s="1"/>
  <c r="C1181" i="1" s="1"/>
  <c r="C1182" i="1" s="1"/>
  <c r="J892" i="1"/>
  <c r="J898" i="1"/>
  <c r="I892" i="1"/>
  <c r="I898" i="1"/>
  <c r="H892" i="1"/>
  <c r="H898" i="1"/>
  <c r="G892" i="1"/>
  <c r="G898" i="1"/>
  <c r="K892" i="1"/>
  <c r="K898" i="1"/>
  <c r="C1206" i="1" l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202" i="1"/>
  <c r="C1203" i="1" s="1"/>
  <c r="C1204" i="1" s="1"/>
  <c r="C1205" i="1" s="1"/>
  <c r="C1488" i="1" l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484" i="1"/>
  <c r="C1485" i="1" s="1"/>
  <c r="C1486" i="1" s="1"/>
  <c r="C1487" i="1" s="1"/>
  <c r="F612" i="1"/>
  <c r="F653" i="1"/>
  <c r="G612" i="1"/>
  <c r="G653" i="1"/>
  <c r="H653" i="1"/>
  <c r="H612" i="1"/>
  <c r="I653" i="1"/>
  <c r="I612" i="1"/>
  <c r="J653" i="1"/>
  <c r="J612" i="1"/>
  <c r="K612" i="1"/>
  <c r="K653" i="1"/>
  <c r="C1506" i="1" l="1"/>
  <c r="C1511" i="1"/>
  <c r="C1512" i="1" l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507" i="1"/>
  <c r="C1508" i="1" s="1"/>
  <c r="C1509" i="1" s="1"/>
  <c r="C1510" i="1" s="1"/>
  <c r="C1753" i="1" l="1"/>
  <c r="C1754" i="1" s="1"/>
  <c r="C1755" i="1" s="1"/>
  <c r="C1756" i="1" s="1"/>
  <c r="C1757" i="1" s="1"/>
  <c r="C1758" i="1" s="1"/>
  <c r="C1759" i="1" s="1"/>
  <c r="C1760" i="1" s="1"/>
  <c r="C1761" i="1"/>
  <c r="C1762" i="1" s="1"/>
  <c r="C1763" i="1" s="1"/>
  <c r="C1764" i="1" s="1"/>
  <c r="C1765" i="1" s="1"/>
  <c r="K581" i="1"/>
  <c r="J581" i="1"/>
  <c r="I581" i="1"/>
  <c r="H581" i="1"/>
  <c r="G581" i="1"/>
  <c r="F581" i="1"/>
  <c r="C1766" i="1" l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G441" i="1"/>
  <c r="F441" i="1"/>
  <c r="H441" i="1"/>
  <c r="I441" i="1"/>
  <c r="J441" i="1"/>
  <c r="K441" i="1"/>
  <c r="C1782" i="1" l="1"/>
  <c r="C1783" i="1" s="1"/>
  <c r="C1784" i="1" s="1"/>
  <c r="C1785" i="1" s="1"/>
  <c r="C1786" i="1" s="1"/>
  <c r="C1787" i="1" s="1"/>
  <c r="F890" i="1"/>
  <c r="G890" i="1"/>
  <c r="H890" i="1"/>
  <c r="I890" i="1"/>
  <c r="J890" i="1"/>
  <c r="K890" i="1"/>
  <c r="C1788" i="1" l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6" i="1" s="1"/>
  <c r="C1807" i="1" s="1"/>
  <c r="C1804" i="1" s="1"/>
  <c r="G889" i="1"/>
  <c r="G886" i="1" s="1"/>
  <c r="G887" i="1"/>
  <c r="H889" i="1"/>
  <c r="H886" i="1" s="1"/>
  <c r="H887" i="1"/>
  <c r="I887" i="1"/>
  <c r="I889" i="1"/>
  <c r="I886" i="1" s="1"/>
  <c r="K887" i="1"/>
  <c r="K889" i="1"/>
  <c r="K886" i="1" s="1"/>
  <c r="F889" i="1"/>
  <c r="F886" i="1" s="1"/>
  <c r="F887" i="1"/>
  <c r="J887" i="1"/>
  <c r="J889" i="1"/>
  <c r="J886" i="1" s="1"/>
  <c r="C1808" i="1" l="1"/>
  <c r="C1805" i="1"/>
  <c r="I885" i="1"/>
  <c r="I956" i="1"/>
  <c r="F885" i="1"/>
  <c r="F956" i="1"/>
  <c r="J885" i="1"/>
  <c r="J956" i="1"/>
  <c r="K885" i="1"/>
  <c r="K956" i="1"/>
  <c r="H885" i="1"/>
  <c r="H956" i="1"/>
  <c r="G885" i="1"/>
  <c r="G956" i="1"/>
  <c r="K509" i="1"/>
  <c r="J509" i="1"/>
  <c r="I509" i="1"/>
  <c r="H509" i="1"/>
  <c r="G509" i="1"/>
  <c r="F509" i="1"/>
  <c r="C1809" i="1" l="1"/>
  <c r="C1810" i="1" s="1"/>
  <c r="C1811" i="1" s="1"/>
  <c r="C1812" i="1" s="1"/>
  <c r="C1813" i="1" s="1"/>
  <c r="C1814" i="1" s="1"/>
  <c r="C1815" i="1" s="1"/>
  <c r="C1816" i="1" s="1"/>
  <c r="C1817" i="1" s="1"/>
  <c r="C1880" i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1818" i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19" i="1"/>
  <c r="K921" i="1"/>
  <c r="J921" i="1"/>
  <c r="I921" i="1"/>
  <c r="H921" i="1"/>
  <c r="G921" i="1"/>
  <c r="F921" i="1"/>
  <c r="K815" i="1"/>
  <c r="J815" i="1"/>
  <c r="I815" i="1"/>
  <c r="H815" i="1"/>
  <c r="G815" i="1"/>
  <c r="F815" i="1"/>
  <c r="K810" i="1"/>
  <c r="J810" i="1"/>
  <c r="I810" i="1"/>
  <c r="H810" i="1"/>
  <c r="G810" i="1"/>
  <c r="F810" i="1"/>
  <c r="K788" i="1"/>
  <c r="J788" i="1"/>
  <c r="I788" i="1"/>
  <c r="H788" i="1"/>
  <c r="G788" i="1"/>
  <c r="F788" i="1"/>
  <c r="K915" i="1" l="1"/>
  <c r="K880" i="1" s="1"/>
  <c r="H5" i="4" s="1"/>
  <c r="K968" i="1"/>
  <c r="J915" i="1"/>
  <c r="J880" i="1" s="1"/>
  <c r="G5" i="4" s="1"/>
  <c r="J968" i="1"/>
  <c r="G915" i="1"/>
  <c r="G968" i="1"/>
  <c r="F915" i="1"/>
  <c r="F968" i="1"/>
  <c r="H915" i="1"/>
  <c r="H880" i="1" s="1"/>
  <c r="E5" i="4" s="1"/>
  <c r="H968" i="1"/>
  <c r="I915" i="1"/>
  <c r="I880" i="1" s="1"/>
  <c r="F5" i="4" s="1"/>
  <c r="I968" i="1"/>
  <c r="F806" i="1"/>
  <c r="F808" i="1" s="1"/>
  <c r="G806" i="1"/>
  <c r="G808" i="1" s="1"/>
  <c r="I806" i="1"/>
  <c r="I808" i="1" s="1"/>
  <c r="K806" i="1"/>
  <c r="K808" i="1" s="1"/>
  <c r="H806" i="1"/>
  <c r="H808" i="1" s="1"/>
  <c r="J806" i="1"/>
  <c r="J808" i="1" s="1"/>
  <c r="G880" i="1" l="1"/>
  <c r="D5" i="4" s="1"/>
  <c r="F880" i="1"/>
  <c r="C5" i="4" s="1"/>
  <c r="I842" i="1" l="1"/>
  <c r="I875" i="1"/>
  <c r="G842" i="1"/>
  <c r="G875" i="1"/>
  <c r="F844" i="1"/>
  <c r="F876" i="1"/>
  <c r="H842" i="1"/>
  <c r="H875" i="1"/>
  <c r="K842" i="1"/>
  <c r="K875" i="1"/>
  <c r="G844" i="1"/>
  <c r="G876" i="1"/>
  <c r="I844" i="1"/>
  <c r="I876" i="1"/>
  <c r="J844" i="1"/>
  <c r="J876" i="1"/>
  <c r="F846" i="1"/>
  <c r="F877" i="1"/>
  <c r="J846" i="1"/>
  <c r="J877" i="1"/>
  <c r="F842" i="1"/>
  <c r="F875" i="1"/>
  <c r="J842" i="1"/>
  <c r="J875" i="1"/>
  <c r="H844" i="1"/>
  <c r="H876" i="1"/>
  <c r="K844" i="1"/>
  <c r="K876" i="1"/>
  <c r="G846" i="1"/>
  <c r="G877" i="1"/>
  <c r="H846" i="1"/>
  <c r="H877" i="1"/>
  <c r="I846" i="1"/>
  <c r="I877" i="1"/>
  <c r="K846" i="1"/>
  <c r="K877" i="1"/>
  <c r="F828" i="1"/>
  <c r="F864" i="1"/>
  <c r="G828" i="1"/>
  <c r="G864" i="1"/>
  <c r="H828" i="1"/>
  <c r="H864" i="1"/>
  <c r="J828" i="1"/>
  <c r="J864" i="1"/>
  <c r="K828" i="1"/>
  <c r="K864" i="1"/>
  <c r="I828" i="1"/>
  <c r="I864" i="1"/>
  <c r="F706" i="1" l="1"/>
  <c r="I701" i="1"/>
  <c r="J701" i="1"/>
  <c r="K701" i="1"/>
  <c r="G703" i="1"/>
  <c r="H703" i="1"/>
  <c r="I703" i="1"/>
  <c r="J703" i="1"/>
  <c r="K703" i="1"/>
  <c r="F701" i="1"/>
  <c r="F703" i="1"/>
  <c r="J706" i="1" l="1"/>
  <c r="I706" i="1"/>
  <c r="G706" i="1"/>
  <c r="K706" i="1"/>
  <c r="H706" i="1"/>
  <c r="H670" i="1"/>
  <c r="H701" i="1"/>
  <c r="G670" i="1"/>
  <c r="G701" i="1"/>
  <c r="H700" i="1"/>
  <c r="F700" i="1"/>
  <c r="K700" i="1"/>
  <c r="J700" i="1"/>
  <c r="F692" i="1"/>
  <c r="F689" i="1" s="1"/>
  <c r="I700" i="1"/>
  <c r="G692" i="1" l="1"/>
  <c r="G689" i="1" s="1"/>
  <c r="H692" i="1"/>
  <c r="H689" i="1" s="1"/>
  <c r="J674" i="1"/>
  <c r="J660" i="1" s="1"/>
  <c r="J702" i="1"/>
  <c r="I674" i="1"/>
  <c r="I660" i="1" s="1"/>
  <c r="I702" i="1"/>
  <c r="K674" i="1"/>
  <c r="K660" i="1" s="1"/>
  <c r="K702" i="1"/>
  <c r="F674" i="1"/>
  <c r="F660" i="1" s="1"/>
  <c r="F702" i="1"/>
  <c r="H674" i="1"/>
  <c r="H660" i="1" s="1"/>
  <c r="H702" i="1"/>
  <c r="G674" i="1"/>
  <c r="G660" i="1" s="1"/>
  <c r="G702" i="1"/>
  <c r="G691" i="1"/>
  <c r="G688" i="1" s="1"/>
  <c r="G700" i="1"/>
  <c r="F670" i="1"/>
  <c r="J670" i="1"/>
  <c r="J692" i="1"/>
  <c r="J689" i="1" s="1"/>
  <c r="I670" i="1"/>
  <c r="I692" i="1"/>
  <c r="I689" i="1" s="1"/>
  <c r="K670" i="1"/>
  <c r="K692" i="1"/>
  <c r="K689" i="1" s="1"/>
  <c r="J669" i="1"/>
  <c r="G690" i="1" l="1"/>
  <c r="G687" i="1" s="1"/>
  <c r="G671" i="1"/>
  <c r="G668" i="1" s="1"/>
  <c r="G669" i="1"/>
  <c r="J671" i="1"/>
  <c r="J668" i="1" s="1"/>
  <c r="J691" i="1"/>
  <c r="K671" i="1"/>
  <c r="K668" i="1" s="1"/>
  <c r="K691" i="1"/>
  <c r="F671" i="1"/>
  <c r="F668" i="1" s="1"/>
  <c r="F691" i="1"/>
  <c r="H671" i="1"/>
  <c r="H668" i="1" s="1"/>
  <c r="H691" i="1"/>
  <c r="I669" i="1"/>
  <c r="I691" i="1"/>
  <c r="I671" i="1"/>
  <c r="I668" i="1" s="1"/>
  <c r="F669" i="1"/>
  <c r="H669" i="1"/>
  <c r="K669" i="1"/>
  <c r="I690" i="1" l="1"/>
  <c r="I687" i="1" s="1"/>
  <c r="I688" i="1"/>
  <c r="H690" i="1"/>
  <c r="H687" i="1" s="1"/>
  <c r="H688" i="1"/>
  <c r="J690" i="1"/>
  <c r="J687" i="1" s="1"/>
  <c r="J688" i="1"/>
  <c r="F690" i="1"/>
  <c r="F687" i="1" s="1"/>
  <c r="F688" i="1"/>
  <c r="K690" i="1"/>
  <c r="K687" i="1" s="1"/>
  <c r="K688" i="1"/>
  <c r="K775" i="1" l="1"/>
  <c r="J775" i="1"/>
  <c r="I775" i="1"/>
  <c r="H775" i="1"/>
  <c r="G775" i="1" l="1"/>
  <c r="F775" i="1"/>
  <c r="K857" i="1" l="1"/>
  <c r="J857" i="1"/>
  <c r="I857" i="1"/>
  <c r="H857" i="1"/>
  <c r="G857" i="1"/>
  <c r="F857" i="1"/>
  <c r="G848" i="1" l="1"/>
  <c r="G878" i="1"/>
  <c r="F848" i="1"/>
  <c r="F878" i="1"/>
  <c r="I848" i="1"/>
  <c r="I878" i="1"/>
  <c r="K848" i="1"/>
  <c r="K878" i="1"/>
  <c r="H848" i="1"/>
  <c r="H878" i="1"/>
  <c r="J848" i="1"/>
  <c r="J878" i="1"/>
  <c r="J862" i="1"/>
  <c r="K862" i="1"/>
  <c r="H862" i="1"/>
  <c r="G862" i="1"/>
  <c r="F862" i="1"/>
  <c r="I862" i="1"/>
  <c r="K73" i="1" l="1"/>
  <c r="J73" i="1"/>
  <c r="I73" i="1"/>
  <c r="H73" i="1"/>
  <c r="G73" i="1"/>
  <c r="K955" i="1" l="1"/>
  <c r="J955" i="1"/>
  <c r="I955" i="1"/>
  <c r="H955" i="1"/>
  <c r="G955" i="1"/>
  <c r="F955" i="1"/>
  <c r="F874" i="1"/>
  <c r="H830" i="1"/>
  <c r="K763" i="1"/>
  <c r="K856" i="1" s="1"/>
  <c r="J763" i="1"/>
  <c r="J856" i="1" s="1"/>
  <c r="I763" i="1"/>
  <c r="I856" i="1" s="1"/>
  <c r="H763" i="1"/>
  <c r="H856" i="1" s="1"/>
  <c r="G763" i="1"/>
  <c r="G856" i="1" s="1"/>
  <c r="F763" i="1"/>
  <c r="F856" i="1" s="1"/>
  <c r="G830" i="1" l="1"/>
  <c r="F830" i="1"/>
  <c r="F850" i="1"/>
  <c r="F879" i="1"/>
  <c r="H850" i="1"/>
  <c r="H879" i="1"/>
  <c r="J850" i="1"/>
  <c r="J879" i="1"/>
  <c r="I830" i="1"/>
  <c r="K850" i="1"/>
  <c r="K879" i="1"/>
  <c r="G850" i="1"/>
  <c r="G879" i="1"/>
  <c r="I850" i="1"/>
  <c r="I879" i="1"/>
  <c r="K852" i="1"/>
  <c r="G821" i="1"/>
  <c r="I821" i="1"/>
  <c r="J821" i="1"/>
  <c r="F824" i="1"/>
  <c r="H821" i="1"/>
  <c r="K821" i="1"/>
  <c r="G824" i="1"/>
  <c r="H824" i="1"/>
  <c r="I824" i="1"/>
  <c r="J824" i="1"/>
  <c r="K824" i="1"/>
  <c r="J830" i="1"/>
  <c r="F852" i="1"/>
  <c r="K830" i="1"/>
  <c r="G852" i="1"/>
  <c r="H852" i="1"/>
  <c r="I852" i="1"/>
  <c r="F821" i="1"/>
  <c r="J852" i="1"/>
  <c r="F73" i="1"/>
  <c r="J858" i="1" l="1"/>
  <c r="J817" i="1"/>
  <c r="I858" i="1"/>
  <c r="I817" i="1"/>
  <c r="H858" i="1"/>
  <c r="H817" i="1"/>
  <c r="F858" i="1"/>
  <c r="F817" i="1"/>
  <c r="G858" i="1"/>
  <c r="G817" i="1"/>
  <c r="K858" i="1"/>
  <c r="K817" i="1"/>
  <c r="G773" i="1" l="1"/>
  <c r="G768" i="1" s="1"/>
  <c r="G860" i="1" s="1"/>
  <c r="G769" i="1" l="1"/>
  <c r="G766" i="1" s="1"/>
  <c r="G771" i="1"/>
  <c r="G767" i="1" s="1"/>
  <c r="G859" i="1" s="1"/>
  <c r="G782" i="1" l="1"/>
  <c r="G761" i="1"/>
  <c r="D4" i="4" s="1"/>
  <c r="D3" i="4" s="1"/>
  <c r="G783" i="1"/>
  <c r="G861" i="1"/>
  <c r="G779" i="1"/>
  <c r="G863" i="1" s="1"/>
  <c r="F861" i="1" l="1"/>
  <c r="I861" i="1"/>
  <c r="K861" i="1"/>
  <c r="F782" i="1"/>
  <c r="K773" i="1"/>
  <c r="K768" i="1" s="1"/>
  <c r="K860" i="1" s="1"/>
  <c r="J773" i="1"/>
  <c r="J768" i="1" s="1"/>
  <c r="J860" i="1" s="1"/>
  <c r="I773" i="1"/>
  <c r="I768" i="1" s="1"/>
  <c r="I860" i="1" s="1"/>
  <c r="H773" i="1"/>
  <c r="H768" i="1" s="1"/>
  <c r="H860" i="1" s="1"/>
  <c r="F773" i="1"/>
  <c r="F768" i="1" s="1"/>
  <c r="F860" i="1" s="1"/>
  <c r="I782" i="1" l="1"/>
  <c r="K782" i="1"/>
  <c r="H782" i="1"/>
  <c r="J782" i="1"/>
  <c r="J861" i="1"/>
  <c r="H783" i="1"/>
  <c r="H861" i="1"/>
  <c r="J779" i="1"/>
  <c r="J863" i="1" s="1"/>
  <c r="K779" i="1"/>
  <c r="K863" i="1" s="1"/>
  <c r="I783" i="1"/>
  <c r="I779" i="1"/>
  <c r="I863" i="1" s="1"/>
  <c r="F779" i="1"/>
  <c r="F863" i="1" s="1"/>
  <c r="J783" i="1"/>
  <c r="H779" i="1"/>
  <c r="H863" i="1" s="1"/>
  <c r="K783" i="1"/>
  <c r="H771" i="1"/>
  <c r="H767" i="1" s="1"/>
  <c r="H859" i="1" s="1"/>
  <c r="H769" i="1"/>
  <c r="H766" i="1" s="1"/>
  <c r="H761" i="1" s="1"/>
  <c r="E4" i="4" s="1"/>
  <c r="E3" i="4" s="1"/>
  <c r="I769" i="1"/>
  <c r="I766" i="1" s="1"/>
  <c r="I771" i="1"/>
  <c r="I767" i="1" s="1"/>
  <c r="I859" i="1" s="1"/>
  <c r="J771" i="1"/>
  <c r="J767" i="1" s="1"/>
  <c r="J859" i="1" s="1"/>
  <c r="J769" i="1"/>
  <c r="J766" i="1" s="1"/>
  <c r="F769" i="1"/>
  <c r="F766" i="1" s="1"/>
  <c r="F771" i="1"/>
  <c r="F767" i="1" s="1"/>
  <c r="F859" i="1" s="1"/>
  <c r="K771" i="1"/>
  <c r="K767" i="1" s="1"/>
  <c r="K859" i="1" s="1"/>
  <c r="K769" i="1"/>
  <c r="K766" i="1" s="1"/>
  <c r="F783" i="1"/>
  <c r="K761" i="1" l="1"/>
  <c r="H4" i="4" s="1"/>
  <c r="H3" i="4" s="1"/>
  <c r="F761" i="1"/>
  <c r="C4" i="4" s="1"/>
  <c r="C3" i="4" s="1"/>
  <c r="J761" i="1"/>
  <c r="G4" i="4" s="1"/>
  <c r="G3" i="4" s="1"/>
  <c r="I761" i="1"/>
  <c r="F4" i="4" s="1"/>
  <c r="F3" i="4" s="1"/>
  <c r="E517" i="1" l="1"/>
  <c r="E516" i="1"/>
  <c r="E512" i="1"/>
  <c r="E511" i="1"/>
  <c r="E510" i="1"/>
  <c r="E509" i="1"/>
  <c r="E508" i="1"/>
  <c r="E507" i="1"/>
  <c r="E496" i="1"/>
  <c r="E495" i="1"/>
  <c r="E494" i="1"/>
  <c r="E486" i="1"/>
  <c r="E485" i="1"/>
  <c r="E484" i="1"/>
  <c r="E483" i="1"/>
  <c r="E475" i="1"/>
  <c r="E474" i="1"/>
  <c r="E473" i="1"/>
  <c r="E489" i="1" s="1"/>
  <c r="E472" i="1"/>
  <c r="C407" i="1"/>
  <c r="F387" i="1" l="1"/>
  <c r="G387" i="1"/>
  <c r="I387" i="1"/>
  <c r="H387" i="1"/>
  <c r="J387" i="1"/>
  <c r="K387" i="1"/>
  <c r="K459" i="1"/>
  <c r="J459" i="1"/>
  <c r="I459" i="1"/>
  <c r="H459" i="1"/>
  <c r="G459" i="1"/>
  <c r="F459" i="1"/>
  <c r="K457" i="1" l="1"/>
  <c r="J457" i="1"/>
  <c r="I457" i="1"/>
  <c r="H457" i="1"/>
  <c r="G457" i="1"/>
  <c r="F457" i="1"/>
  <c r="K455" i="1" l="1"/>
  <c r="J455" i="1"/>
  <c r="I455" i="1"/>
  <c r="H455" i="1"/>
  <c r="G455" i="1"/>
  <c r="F455" i="1"/>
  <c r="K453" i="1"/>
  <c r="J453" i="1"/>
  <c r="I453" i="1"/>
  <c r="H453" i="1"/>
  <c r="G453" i="1"/>
  <c r="F453" i="1"/>
  <c r="K445" i="1"/>
  <c r="J445" i="1"/>
  <c r="I445" i="1"/>
  <c r="H445" i="1"/>
  <c r="G445" i="1"/>
  <c r="F445" i="1"/>
  <c r="F443" i="1" l="1"/>
  <c r="F440" i="1" s="1"/>
  <c r="F439" i="1" s="1"/>
  <c r="G443" i="1"/>
  <c r="G440" i="1" s="1"/>
  <c r="G439" i="1" s="1"/>
  <c r="H443" i="1"/>
  <c r="H440" i="1" s="1"/>
  <c r="H439" i="1" s="1"/>
  <c r="I443" i="1"/>
  <c r="I440" i="1" s="1"/>
  <c r="I439" i="1" s="1"/>
  <c r="J443" i="1"/>
  <c r="J440" i="1" s="1"/>
  <c r="J439" i="1" s="1"/>
  <c r="K443" i="1"/>
  <c r="K440" i="1" s="1"/>
  <c r="K439" i="1" s="1"/>
  <c r="F450" i="1"/>
  <c r="F449" i="1" s="1"/>
  <c r="F447" i="1"/>
  <c r="G450" i="1"/>
  <c r="G449" i="1" s="1"/>
  <c r="G447" i="1"/>
  <c r="H450" i="1"/>
  <c r="H449" i="1" s="1"/>
  <c r="H447" i="1"/>
  <c r="I450" i="1"/>
  <c r="I449" i="1" s="1"/>
  <c r="I447" i="1"/>
  <c r="J447" i="1"/>
  <c r="J450" i="1"/>
  <c r="J449" i="1" s="1"/>
  <c r="K447" i="1"/>
  <c r="K450" i="1"/>
  <c r="K449" i="1" s="1"/>
  <c r="I438" i="1" l="1"/>
  <c r="G438" i="1"/>
  <c r="H438" i="1"/>
  <c r="F438" i="1"/>
  <c r="K438" i="1"/>
  <c r="J438" i="1"/>
  <c r="K385" i="1" l="1"/>
  <c r="I385" i="1" l="1"/>
  <c r="J385" i="1"/>
  <c r="F385" i="1"/>
  <c r="G385" i="1"/>
  <c r="H385" i="1"/>
  <c r="G399" i="1" l="1"/>
  <c r="H399" i="1"/>
  <c r="I399" i="1"/>
  <c r="J399" i="1"/>
  <c r="K399" i="1"/>
  <c r="F399" i="1" l="1"/>
  <c r="G524" i="1" l="1"/>
  <c r="H524" i="1"/>
  <c r="I524" i="1"/>
  <c r="J524" i="1"/>
  <c r="K524" i="1"/>
  <c r="F524" i="1"/>
  <c r="K290" i="1"/>
  <c r="J290" i="1"/>
  <c r="I290" i="1"/>
  <c r="H290" i="1"/>
  <c r="G290" i="1"/>
  <c r="F290" i="1"/>
  <c r="K909" i="1"/>
  <c r="J909" i="1"/>
  <c r="I909" i="1"/>
  <c r="H909" i="1"/>
  <c r="G909" i="1"/>
  <c r="F909" i="1"/>
  <c r="E286" i="1"/>
  <c r="K908" i="1"/>
  <c r="J908" i="1"/>
  <c r="I908" i="1"/>
  <c r="H908" i="1"/>
  <c r="G908" i="1"/>
  <c r="K1044" i="1"/>
  <c r="J1044" i="1"/>
  <c r="I1044" i="1"/>
  <c r="F908" i="1"/>
  <c r="E280" i="1"/>
  <c r="E277" i="1"/>
  <c r="K274" i="1"/>
  <c r="J274" i="1"/>
  <c r="I274" i="1"/>
  <c r="H274" i="1"/>
  <c r="G274" i="1"/>
  <c r="F274" i="1"/>
  <c r="G907" i="1"/>
  <c r="H907" i="1"/>
  <c r="I907" i="1"/>
  <c r="J907" i="1"/>
  <c r="K907" i="1"/>
  <c r="F907" i="1"/>
  <c r="G906" i="1"/>
  <c r="H906" i="1"/>
  <c r="I906" i="1"/>
  <c r="J906" i="1"/>
  <c r="K906" i="1"/>
  <c r="F906" i="1"/>
  <c r="G1042" i="1"/>
  <c r="I1043" i="1"/>
  <c r="J1043" i="1"/>
  <c r="F1043" i="1"/>
  <c r="E256" i="1"/>
  <c r="E255" i="1"/>
  <c r="E254" i="1"/>
  <c r="E253" i="1"/>
  <c r="E107" i="1"/>
  <c r="E108" i="1"/>
  <c r="E109" i="1"/>
  <c r="E110" i="1"/>
  <c r="E111" i="1"/>
  <c r="K76" i="1"/>
  <c r="J76" i="1"/>
  <c r="I76" i="1"/>
  <c r="H76" i="1"/>
  <c r="G76" i="1"/>
  <c r="F76" i="1"/>
  <c r="G182" i="1"/>
  <c r="H182" i="1"/>
  <c r="I182" i="1"/>
  <c r="J182" i="1"/>
  <c r="K182" i="1"/>
  <c r="K799" i="1"/>
  <c r="J799" i="1"/>
  <c r="I799" i="1"/>
  <c r="H799" i="1"/>
  <c r="G799" i="1"/>
  <c r="F799" i="1"/>
  <c r="G292" i="1" l="1"/>
  <c r="H292" i="1"/>
  <c r="H1043" i="1"/>
  <c r="F292" i="1"/>
  <c r="G1043" i="1"/>
  <c r="K292" i="1"/>
  <c r="K1042" i="1"/>
  <c r="G905" i="1"/>
  <c r="J1042" i="1"/>
  <c r="J1041" i="1" s="1"/>
  <c r="I1042" i="1"/>
  <c r="I1041" i="1" s="1"/>
  <c r="H1042" i="1"/>
  <c r="F1044" i="1"/>
  <c r="F1042" i="1"/>
  <c r="G1044" i="1"/>
  <c r="K1043" i="1"/>
  <c r="K1041" i="1" s="1"/>
  <c r="H1044" i="1"/>
  <c r="F905" i="1"/>
  <c r="K905" i="1"/>
  <c r="J905" i="1"/>
  <c r="I905" i="1"/>
  <c r="H905" i="1"/>
  <c r="F910" i="1"/>
  <c r="F965" i="1" s="1"/>
  <c r="K910" i="1"/>
  <c r="K965" i="1" s="1"/>
  <c r="I910" i="1"/>
  <c r="I965" i="1" s="1"/>
  <c r="H910" i="1"/>
  <c r="H965" i="1" s="1"/>
  <c r="J910" i="1"/>
  <c r="J965" i="1" s="1"/>
  <c r="G910" i="1"/>
  <c r="G965" i="1" s="1"/>
  <c r="F279" i="1"/>
  <c r="F796" i="1"/>
  <c r="J279" i="1"/>
  <c r="J796" i="1"/>
  <c r="K279" i="1"/>
  <c r="K796" i="1"/>
  <c r="I279" i="1"/>
  <c r="I796" i="1"/>
  <c r="G279" i="1"/>
  <c r="G796" i="1"/>
  <c r="F797" i="1"/>
  <c r="F798" i="1"/>
  <c r="H279" i="1"/>
  <c r="H796" i="1"/>
  <c r="J797" i="1"/>
  <c r="J798" i="1"/>
  <c r="I797" i="1"/>
  <c r="I798" i="1"/>
  <c r="H797" i="1"/>
  <c r="H798" i="1"/>
  <c r="G797" i="1"/>
  <c r="G798" i="1"/>
  <c r="K797" i="1"/>
  <c r="K798" i="1"/>
  <c r="F286" i="1"/>
  <c r="J292" i="1"/>
  <c r="G286" i="1"/>
  <c r="I292" i="1"/>
  <c r="H286" i="1"/>
  <c r="H302" i="1"/>
  <c r="J286" i="1"/>
  <c r="I302" i="1"/>
  <c r="K286" i="1"/>
  <c r="I286" i="1"/>
  <c r="G410" i="1"/>
  <c r="G301" i="1"/>
  <c r="I301" i="1"/>
  <c r="H301" i="1"/>
  <c r="F301" i="1"/>
  <c r="J301" i="1"/>
  <c r="K301" i="1"/>
  <c r="G68" i="1"/>
  <c r="I68" i="1"/>
  <c r="K68" i="1"/>
  <c r="H68" i="1"/>
  <c r="J68" i="1"/>
  <c r="F68" i="1"/>
  <c r="K793" i="1"/>
  <c r="J793" i="1"/>
  <c r="I793" i="1"/>
  <c r="H793" i="1"/>
  <c r="G793" i="1"/>
  <c r="F793" i="1"/>
  <c r="H1041" i="1" l="1"/>
  <c r="G1041" i="1"/>
  <c r="G1068" i="1" s="1"/>
  <c r="F1041" i="1"/>
  <c r="F1093" i="1" s="1"/>
  <c r="K1093" i="1"/>
  <c r="K1094" i="1"/>
  <c r="K1095" i="1"/>
  <c r="I1094" i="1"/>
  <c r="I1093" i="1"/>
  <c r="I1095" i="1"/>
  <c r="J1093" i="1"/>
  <c r="J1095" i="1"/>
  <c r="J1094" i="1"/>
  <c r="G1095" i="1"/>
  <c r="G1094" i="1"/>
  <c r="G1093" i="1"/>
  <c r="G1045" i="1"/>
  <c r="G1069" i="1"/>
  <c r="H1045" i="1"/>
  <c r="H1069" i="1"/>
  <c r="I1045" i="1"/>
  <c r="I1069" i="1"/>
  <c r="I1068" i="1"/>
  <c r="I1067" i="1"/>
  <c r="J1045" i="1"/>
  <c r="J1068" i="1"/>
  <c r="J1067" i="1"/>
  <c r="J1069" i="1"/>
  <c r="K1045" i="1"/>
  <c r="K1068" i="1"/>
  <c r="K1069" i="1"/>
  <c r="K1067" i="1"/>
  <c r="F938" i="1"/>
  <c r="F961" i="1" s="1"/>
  <c r="G941" i="1"/>
  <c r="G964" i="1" s="1"/>
  <c r="F941" i="1"/>
  <c r="F964" i="1" s="1"/>
  <c r="H937" i="1"/>
  <c r="H960" i="1" s="1"/>
  <c r="K940" i="1"/>
  <c r="K963" i="1" s="1"/>
  <c r="I937" i="1"/>
  <c r="I960" i="1" s="1"/>
  <c r="J937" i="1"/>
  <c r="J960" i="1" s="1"/>
  <c r="J940" i="1"/>
  <c r="J963" i="1" s="1"/>
  <c r="I940" i="1"/>
  <c r="I963" i="1" s="1"/>
  <c r="K937" i="1"/>
  <c r="K960" i="1" s="1"/>
  <c r="K941" i="1"/>
  <c r="K964" i="1" s="1"/>
  <c r="F937" i="1"/>
  <c r="F960" i="1" s="1"/>
  <c r="G937" i="1"/>
  <c r="G960" i="1" s="1"/>
  <c r="G940" i="1"/>
  <c r="G963" i="1" s="1"/>
  <c r="I938" i="1"/>
  <c r="I961" i="1" s="1"/>
  <c r="I939" i="1"/>
  <c r="I962" i="1" s="1"/>
  <c r="G939" i="1"/>
  <c r="G962" i="1" s="1"/>
  <c r="J938" i="1"/>
  <c r="J961" i="1" s="1"/>
  <c r="F939" i="1"/>
  <c r="F962" i="1" s="1"/>
  <c r="H938" i="1"/>
  <c r="H961" i="1" s="1"/>
  <c r="H940" i="1"/>
  <c r="H963" i="1" s="1"/>
  <c r="J941" i="1"/>
  <c r="J964" i="1" s="1"/>
  <c r="H939" i="1"/>
  <c r="H962" i="1" s="1"/>
  <c r="J939" i="1"/>
  <c r="J962" i="1" s="1"/>
  <c r="F940" i="1"/>
  <c r="F963" i="1" s="1"/>
  <c r="H941" i="1"/>
  <c r="H964" i="1" s="1"/>
  <c r="K939" i="1"/>
  <c r="K962" i="1" s="1"/>
  <c r="I941" i="1"/>
  <c r="I964" i="1" s="1"/>
  <c r="K938" i="1"/>
  <c r="K961" i="1" s="1"/>
  <c r="G938" i="1"/>
  <c r="G961" i="1" s="1"/>
  <c r="H410" i="1"/>
  <c r="G280" i="1"/>
  <c r="H280" i="1"/>
  <c r="I280" i="1"/>
  <c r="F280" i="1"/>
  <c r="J280" i="1"/>
  <c r="K280" i="1"/>
  <c r="I410" i="1"/>
  <c r="G525" i="1"/>
  <c r="G302" i="1"/>
  <c r="G415" i="1"/>
  <c r="K410" i="1"/>
  <c r="K302" i="1"/>
  <c r="J410" i="1"/>
  <c r="J302" i="1"/>
  <c r="E266" i="1"/>
  <c r="E265" i="1"/>
  <c r="E264" i="1"/>
  <c r="E245" i="1"/>
  <c r="E244" i="1"/>
  <c r="E243" i="1"/>
  <c r="E259" i="1" s="1"/>
  <c r="E242" i="1"/>
  <c r="E287" i="1"/>
  <c r="E289" i="1" s="1"/>
  <c r="E282" i="1"/>
  <c r="E281" i="1"/>
  <c r="E279" i="1"/>
  <c r="E278" i="1"/>
  <c r="H1068" i="1" l="1"/>
  <c r="H1095" i="1"/>
  <c r="H1094" i="1"/>
  <c r="H1093" i="1"/>
  <c r="H1067" i="1"/>
  <c r="G1067" i="1"/>
  <c r="F1095" i="1"/>
  <c r="F1045" i="1"/>
  <c r="F1094" i="1"/>
  <c r="F1069" i="1"/>
  <c r="F1068" i="1"/>
  <c r="F1067" i="1"/>
  <c r="G413" i="1"/>
  <c r="G412" i="1" s="1"/>
  <c r="G414" i="1"/>
  <c r="H415" i="1"/>
  <c r="H525" i="1"/>
  <c r="I525" i="1"/>
  <c r="I415" i="1"/>
  <c r="K525" i="1"/>
  <c r="J525" i="1"/>
  <c r="K415" i="1"/>
  <c r="J415" i="1"/>
  <c r="E63" i="1"/>
  <c r="E65" i="1" s="1"/>
  <c r="E66" i="1" s="1"/>
  <c r="E67" i="1" s="1"/>
  <c r="E73" i="1" s="1"/>
  <c r="I46" i="1"/>
  <c r="I1732" i="1" s="1"/>
  <c r="H46" i="1"/>
  <c r="H1732" i="1" s="1"/>
  <c r="G46" i="1"/>
  <c r="G1732" i="1" s="1"/>
  <c r="F46" i="1"/>
  <c r="F1732" i="1" s="1"/>
  <c r="I45" i="1"/>
  <c r="H45" i="1"/>
  <c r="G45" i="1"/>
  <c r="F45" i="1"/>
  <c r="G1568" i="1" l="1"/>
  <c r="G1615" i="1"/>
  <c r="G1426" i="1"/>
  <c r="G1342" i="1"/>
  <c r="G1204" i="1"/>
  <c r="F1568" i="1"/>
  <c r="F1567" i="1" s="1"/>
  <c r="F1566" i="1" s="1"/>
  <c r="F1615" i="1"/>
  <c r="F1614" i="1" s="1"/>
  <c r="F1613" i="1" s="1"/>
  <c r="F1426" i="1"/>
  <c r="F1425" i="1" s="1"/>
  <c r="F1424" i="1" s="1"/>
  <c r="F1342" i="1"/>
  <c r="F1341" i="1" s="1"/>
  <c r="F1340" i="1" s="1"/>
  <c r="F1204" i="1"/>
  <c r="F1203" i="1" s="1"/>
  <c r="H1568" i="1"/>
  <c r="H1567" i="1" s="1"/>
  <c r="H1566" i="1" s="1"/>
  <c r="H1615" i="1"/>
  <c r="H1426" i="1"/>
  <c r="H1342" i="1"/>
  <c r="H1341" i="1" s="1"/>
  <c r="H1340" i="1" s="1"/>
  <c r="H1204" i="1"/>
  <c r="H1203" i="1" s="1"/>
  <c r="H1202" i="1" s="1"/>
  <c r="I1615" i="1"/>
  <c r="I1614" i="1" s="1"/>
  <c r="I1613" i="1" s="1"/>
  <c r="I1568" i="1"/>
  <c r="I1567" i="1" s="1"/>
  <c r="I1566" i="1" s="1"/>
  <c r="I1426" i="1"/>
  <c r="I1425" i="1" s="1"/>
  <c r="I1424" i="1" s="1"/>
  <c r="I1342" i="1"/>
  <c r="I1341" i="1" s="1"/>
  <c r="I1340" i="1" s="1"/>
  <c r="I1204" i="1"/>
  <c r="I1203" i="1" s="1"/>
  <c r="I1202" i="1" s="1"/>
  <c r="G1567" i="1"/>
  <c r="G1566" i="1" s="1"/>
  <c r="G1614" i="1"/>
  <c r="G1613" i="1" s="1"/>
  <c r="G1425" i="1"/>
  <c r="G1424" i="1" s="1"/>
  <c r="G1341" i="1"/>
  <c r="G1340" i="1" s="1"/>
  <c r="G1203" i="1"/>
  <c r="G1202" i="1" s="1"/>
  <c r="H1614" i="1"/>
  <c r="H1613" i="1" s="1"/>
  <c r="H1425" i="1"/>
  <c r="H1424" i="1" s="1"/>
  <c r="F1731" i="1"/>
  <c r="G1731" i="1"/>
  <c r="H1731" i="1"/>
  <c r="I1731" i="1"/>
  <c r="F44" i="1"/>
  <c r="F1730" i="1" s="1"/>
  <c r="H44" i="1"/>
  <c r="H1730" i="1" s="1"/>
  <c r="G44" i="1"/>
  <c r="G1730" i="1" s="1"/>
  <c r="I44" i="1"/>
  <c r="I1730" i="1" s="1"/>
  <c r="J413" i="1"/>
  <c r="J412" i="1" s="1"/>
  <c r="J414" i="1"/>
  <c r="K413" i="1"/>
  <c r="K412" i="1" s="1"/>
  <c r="K414" i="1"/>
  <c r="I413" i="1"/>
  <c r="I412" i="1" s="1"/>
  <c r="I414" i="1"/>
  <c r="H413" i="1"/>
  <c r="H412" i="1" s="1"/>
  <c r="H414" i="1"/>
  <c r="E129" i="1"/>
  <c r="E130" i="1" s="1"/>
  <c r="E81" i="1" s="1"/>
  <c r="E82" i="1" s="1"/>
  <c r="E83" i="1" s="1"/>
  <c r="E84" i="1" s="1"/>
  <c r="E150" i="1" s="1"/>
  <c r="E131" i="1" s="1"/>
  <c r="E132" i="1" s="1"/>
  <c r="E74" i="1" s="1"/>
  <c r="E85" i="1" s="1"/>
  <c r="E168" i="1" s="1"/>
  <c r="E76" i="1"/>
  <c r="E72" i="1"/>
  <c r="E64" i="1"/>
  <c r="K45" i="1"/>
  <c r="J45" i="1"/>
  <c r="J1731" i="1" l="1"/>
  <c r="K1731" i="1"/>
  <c r="K44" i="1"/>
  <c r="K1730" i="1" s="1"/>
  <c r="J44" i="1"/>
  <c r="J1730" i="1" s="1"/>
  <c r="E151" i="1"/>
  <c r="E165" i="1" s="1"/>
  <c r="E181" i="1" s="1"/>
  <c r="E106" i="1" s="1"/>
  <c r="E209" i="1"/>
  <c r="E80" i="1"/>
  <c r="E180" i="1"/>
  <c r="E77" i="1"/>
  <c r="K47" i="1"/>
  <c r="K1426" i="1" s="1"/>
  <c r="J47" i="1"/>
  <c r="J1342" i="1" l="1"/>
  <c r="J1204" i="1"/>
  <c r="J1615" i="1"/>
  <c r="J1426" i="1"/>
  <c r="K1427" i="1"/>
  <c r="K1343" i="1"/>
  <c r="K1616" i="1"/>
  <c r="K1205" i="1"/>
  <c r="K1569" i="1"/>
  <c r="K1204" i="1"/>
  <c r="K1615" i="1"/>
  <c r="K1568" i="1"/>
  <c r="K1342" i="1"/>
  <c r="J1616" i="1"/>
  <c r="J1427" i="1"/>
  <c r="J1343" i="1"/>
  <c r="J1205" i="1"/>
  <c r="J1569" i="1"/>
  <c r="J1568" i="1"/>
  <c r="J1567" i="1" s="1"/>
  <c r="J1566" i="1" s="1"/>
  <c r="K1733" i="1"/>
  <c r="J1733" i="1"/>
  <c r="J46" i="1"/>
  <c r="J1732" i="1" s="1"/>
  <c r="K46" i="1"/>
  <c r="K1732" i="1" s="1"/>
  <c r="E208" i="1"/>
  <c r="E267" i="1" s="1"/>
  <c r="E158" i="1"/>
  <c r="E160" i="1" s="1"/>
  <c r="E276" i="1"/>
  <c r="E275" i="1"/>
  <c r="E105" i="1"/>
  <c r="K1567" i="1" l="1"/>
  <c r="K1566" i="1" s="1"/>
  <c r="K1614" i="1"/>
  <c r="K1613" i="1" s="1"/>
  <c r="J1614" i="1"/>
  <c r="J1613" i="1" s="1"/>
  <c r="K1425" i="1"/>
  <c r="K1424" i="1" s="1"/>
  <c r="J1425" i="1"/>
  <c r="J1424" i="1" s="1"/>
  <c r="J1203" i="1"/>
  <c r="J1341" i="1"/>
  <c r="J1340" i="1" s="1"/>
  <c r="K1341" i="1"/>
  <c r="K1340" i="1" s="1"/>
  <c r="K1203" i="1"/>
  <c r="E172" i="1"/>
  <c r="E161" i="1"/>
  <c r="E174" i="1"/>
  <c r="E249" i="1" l="1"/>
  <c r="E221" i="1"/>
  <c r="E97" i="1"/>
  <c r="E239" i="1"/>
  <c r="E285" i="1" s="1"/>
  <c r="E218" i="1"/>
  <c r="E220" i="1"/>
  <c r="E223" i="1"/>
  <c r="E250" i="1"/>
  <c r="E227" i="1"/>
  <c r="E229" i="1"/>
  <c r="E99" i="1"/>
  <c r="E252" i="1"/>
  <c r="E226" i="1"/>
  <c r="E246" i="1" s="1"/>
  <c r="E241" i="1"/>
  <c r="E162" i="1"/>
  <c r="E175" i="1"/>
  <c r="E257" i="1" l="1"/>
  <c r="E288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258" i="1"/>
  <c r="E261" i="1"/>
  <c r="E100" i="1"/>
  <c r="E230" i="1"/>
  <c r="E248" i="1" s="1"/>
  <c r="E228" i="1"/>
  <c r="E247" i="1" s="1"/>
  <c r="E163" i="1"/>
  <c r="E176" i="1"/>
  <c r="E394" i="1" l="1"/>
  <c r="E395" i="1" s="1"/>
  <c r="E438" i="1"/>
  <c r="E497" i="1" s="1"/>
  <c r="E409" i="1"/>
  <c r="E506" i="1" s="1"/>
  <c r="E262" i="1"/>
  <c r="E101" i="1"/>
  <c r="E164" i="1"/>
  <c r="E177" i="1"/>
  <c r="E271" i="1" s="1"/>
  <c r="E396" i="1" l="1"/>
  <c r="E441" i="1" s="1"/>
  <c r="E407" i="1"/>
  <c r="E263" i="1"/>
  <c r="E102" i="1"/>
  <c r="E86" i="1"/>
  <c r="E87" i="1" s="1"/>
  <c r="E75" i="1" s="1"/>
  <c r="E152" i="1" s="1"/>
  <c r="E178" i="1"/>
  <c r="E167" i="1"/>
  <c r="E179" i="1" s="1"/>
  <c r="E274" i="1" s="1"/>
  <c r="E504" i="1" l="1"/>
  <c r="E503" i="1"/>
  <c r="E397" i="1"/>
  <c r="E439" i="1"/>
  <c r="E408" i="1"/>
  <c r="E505" i="1" s="1"/>
  <c r="E153" i="1"/>
  <c r="E133" i="1" s="1"/>
  <c r="E134" i="1" s="1"/>
  <c r="E169" i="1" s="1"/>
  <c r="E166" i="1"/>
  <c r="E273" i="1"/>
  <c r="E104" i="1"/>
  <c r="E272" i="1"/>
  <c r="E103" i="1"/>
  <c r="E443" i="1" l="1"/>
  <c r="E464" i="1"/>
  <c r="E232" i="1"/>
  <c r="E234" i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398" i="1"/>
  <c r="E466" i="1" s="1"/>
  <c r="E442" i="1"/>
  <c r="E440" i="1"/>
  <c r="E513" i="1" s="1"/>
  <c r="E462" i="1"/>
  <c r="E461" i="1"/>
  <c r="E498" i="1" s="1"/>
  <c r="E210" i="1"/>
  <c r="E283" i="1" s="1"/>
  <c r="E212" i="1"/>
  <c r="E88" i="1"/>
  <c r="E89" i="1" s="1"/>
  <c r="E90" i="1" s="1"/>
  <c r="E231" i="1"/>
  <c r="E268" i="1" s="1"/>
  <c r="E159" i="1"/>
  <c r="E173" i="1" s="1"/>
  <c r="E260" i="1" s="1"/>
  <c r="E78" i="1" l="1"/>
  <c r="E399" i="1"/>
  <c r="E449" i="1" s="1"/>
  <c r="E465" i="1"/>
  <c r="E463" i="1"/>
  <c r="E499" i="1" s="1"/>
  <c r="E444" i="1"/>
  <c r="E514" i="1" s="1"/>
  <c r="E445" i="1"/>
  <c r="E251" i="1"/>
  <c r="E225" i="1"/>
  <c r="E240" i="1"/>
  <c r="E98" i="1"/>
  <c r="E224" i="1"/>
  <c r="E222" i="1"/>
  <c r="E154" i="1"/>
  <c r="E91" i="1" s="1"/>
  <c r="E92" i="1" s="1"/>
  <c r="E155" i="1" s="1"/>
  <c r="E93" i="1" s="1"/>
  <c r="E94" i="1" s="1"/>
  <c r="E156" i="1" s="1"/>
  <c r="E170" i="1" s="1"/>
  <c r="E79" i="1"/>
  <c r="E71" i="1" s="1"/>
  <c r="E213" i="1" l="1"/>
  <c r="E236" i="1"/>
  <c r="E215" i="1"/>
  <c r="E211" i="1"/>
  <c r="E400" i="1"/>
  <c r="E451" i="1" s="1"/>
  <c r="E467" i="1"/>
  <c r="E500" i="1" s="1"/>
  <c r="E447" i="1"/>
  <c r="E468" i="1"/>
  <c r="E446" i="1"/>
  <c r="E233" i="1"/>
  <c r="E269" i="1" s="1"/>
  <c r="E235" i="1"/>
  <c r="E95" i="1"/>
  <c r="E157" i="1" s="1"/>
  <c r="E171" i="1" s="1"/>
  <c r="E214" i="1"/>
  <c r="E284" i="1" s="1"/>
  <c r="E238" i="1" l="1"/>
  <c r="E219" i="1"/>
  <c r="E401" i="1"/>
  <c r="E448" i="1"/>
  <c r="E480" i="1"/>
  <c r="E479" i="1"/>
  <c r="E453" i="1"/>
  <c r="E450" i="1"/>
  <c r="E469" i="1"/>
  <c r="E96" i="1"/>
  <c r="E217" i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216" i="1"/>
  <c r="E237" i="1"/>
  <c r="E270" i="1" s="1"/>
  <c r="E487" i="1" l="1"/>
  <c r="E515" i="1"/>
  <c r="E402" i="1"/>
  <c r="E490" i="1"/>
  <c r="E481" i="1"/>
  <c r="E455" i="1"/>
  <c r="E454" i="1"/>
  <c r="E452" i="1"/>
  <c r="E470" i="1"/>
  <c r="E125" i="1"/>
  <c r="E126" i="1" s="1"/>
  <c r="E127" i="1" s="1"/>
  <c r="E128" i="1" s="1"/>
  <c r="E70" i="1"/>
  <c r="E56" i="1"/>
  <c r="E57" i="1" s="1"/>
  <c r="E58" i="1" s="1"/>
  <c r="E59" i="1" s="1"/>
  <c r="F34" i="1"/>
  <c r="I35" i="1"/>
  <c r="I1721" i="1" s="1"/>
  <c r="H35" i="1"/>
  <c r="H1721" i="1" s="1"/>
  <c r="G35" i="1"/>
  <c r="G1721" i="1" s="1"/>
  <c r="F35" i="1"/>
  <c r="F1721" i="1" s="1"/>
  <c r="I34" i="1"/>
  <c r="H34" i="1"/>
  <c r="G34" i="1"/>
  <c r="I33" i="1"/>
  <c r="H33" i="1"/>
  <c r="G33" i="1"/>
  <c r="F33" i="1"/>
  <c r="K1202" i="1"/>
  <c r="J120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2" i="1" s="1"/>
  <c r="I1650" i="1" l="1"/>
  <c r="I1649" i="1" s="1"/>
  <c r="I1600" i="1"/>
  <c r="I1599" i="1" s="1"/>
  <c r="I1598" i="1" s="1"/>
  <c r="I1553" i="1"/>
  <c r="I1552" i="1" s="1"/>
  <c r="I1551" i="1" s="1"/>
  <c r="I1509" i="1"/>
  <c r="I1508" i="1" s="1"/>
  <c r="I1507" i="1" s="1"/>
  <c r="I1158" i="1"/>
  <c r="I1157" i="1" s="1"/>
  <c r="I1156" i="1" s="1"/>
  <c r="H1650" i="1"/>
  <c r="H1649" i="1" s="1"/>
  <c r="H1553" i="1"/>
  <c r="H1552" i="1" s="1"/>
  <c r="H1551" i="1" s="1"/>
  <c r="H1600" i="1"/>
  <c r="H1599" i="1" s="1"/>
  <c r="H1598" i="1" s="1"/>
  <c r="H1509" i="1"/>
  <c r="H1508" i="1" s="1"/>
  <c r="H1507" i="1" s="1"/>
  <c r="H1158" i="1"/>
  <c r="H1157" i="1" s="1"/>
  <c r="H1156" i="1" s="1"/>
  <c r="F1650" i="1"/>
  <c r="F1649" i="1" s="1"/>
  <c r="F1553" i="1"/>
  <c r="F1552" i="1" s="1"/>
  <c r="F1551" i="1" s="1"/>
  <c r="F1600" i="1"/>
  <c r="F1599" i="1" s="1"/>
  <c r="F1598" i="1" s="1"/>
  <c r="F1509" i="1"/>
  <c r="F1508" i="1" s="1"/>
  <c r="F1507" i="1" s="1"/>
  <c r="F1158" i="1"/>
  <c r="F1157" i="1" s="1"/>
  <c r="F1156" i="1" s="1"/>
  <c r="H1656" i="1"/>
  <c r="H1560" i="1"/>
  <c r="H1559" i="1" s="1"/>
  <c r="H1558" i="1" s="1"/>
  <c r="H1607" i="1"/>
  <c r="H1606" i="1" s="1"/>
  <c r="H1605" i="1" s="1"/>
  <c r="H1412" i="1"/>
  <c r="H1411" i="1" s="1"/>
  <c r="H1410" i="1" s="1"/>
  <c r="H1328" i="1"/>
  <c r="H1327" i="1" s="1"/>
  <c r="H1326" i="1" s="1"/>
  <c r="H1181" i="1"/>
  <c r="G1650" i="1"/>
  <c r="G1649" i="1" s="1"/>
  <c r="G1553" i="1"/>
  <c r="G1552" i="1" s="1"/>
  <c r="G1551" i="1" s="1"/>
  <c r="G1600" i="1"/>
  <c r="G1599" i="1" s="1"/>
  <c r="G1598" i="1" s="1"/>
  <c r="G1509" i="1"/>
  <c r="G1508" i="1" s="1"/>
  <c r="G1507" i="1" s="1"/>
  <c r="G1158" i="1"/>
  <c r="G1157" i="1" s="1"/>
  <c r="G1156" i="1" s="1"/>
  <c r="F1656" i="1"/>
  <c r="F1607" i="1"/>
  <c r="F1606" i="1" s="1"/>
  <c r="F1605" i="1" s="1"/>
  <c r="F1560" i="1"/>
  <c r="F1559" i="1" s="1"/>
  <c r="F1558" i="1" s="1"/>
  <c r="F1412" i="1"/>
  <c r="F1411" i="1" s="1"/>
  <c r="F1410" i="1" s="1"/>
  <c r="F1328" i="1"/>
  <c r="F1327" i="1" s="1"/>
  <c r="F1326" i="1" s="1"/>
  <c r="F1181" i="1"/>
  <c r="F1180" i="1" s="1"/>
  <c r="F1179" i="1" s="1"/>
  <c r="G1656" i="1"/>
  <c r="G1607" i="1"/>
  <c r="G1606" i="1" s="1"/>
  <c r="G1605" i="1" s="1"/>
  <c r="G1560" i="1"/>
  <c r="G1559" i="1" s="1"/>
  <c r="G1558" i="1" s="1"/>
  <c r="G1412" i="1"/>
  <c r="G1411" i="1" s="1"/>
  <c r="G1410" i="1" s="1"/>
  <c r="G1328" i="1"/>
  <c r="G1327" i="1" s="1"/>
  <c r="G1326" i="1" s="1"/>
  <c r="G1181" i="1"/>
  <c r="G1180" i="1" s="1"/>
  <c r="G1179" i="1" s="1"/>
  <c r="I1656" i="1"/>
  <c r="I1560" i="1"/>
  <c r="I1559" i="1" s="1"/>
  <c r="I1558" i="1" s="1"/>
  <c r="I1607" i="1"/>
  <c r="I1606" i="1" s="1"/>
  <c r="I1605" i="1" s="1"/>
  <c r="I1412" i="1"/>
  <c r="I1411" i="1" s="1"/>
  <c r="I1410" i="1" s="1"/>
  <c r="I1328" i="1"/>
  <c r="I1327" i="1" s="1"/>
  <c r="I1326" i="1" s="1"/>
  <c r="I1181" i="1"/>
  <c r="I1180" i="1" s="1"/>
  <c r="I1179" i="1" s="1"/>
  <c r="H1180" i="1"/>
  <c r="H1179" i="1" s="1"/>
  <c r="H1720" i="1"/>
  <c r="I1720" i="1"/>
  <c r="F1720" i="1"/>
  <c r="H1719" i="1"/>
  <c r="G1720" i="1"/>
  <c r="F1719" i="1"/>
  <c r="G1719" i="1"/>
  <c r="I1719" i="1"/>
  <c r="E403" i="1"/>
  <c r="E459" i="1"/>
  <c r="E482" i="1"/>
  <c r="E457" i="1"/>
  <c r="E456" i="1"/>
  <c r="E476" i="1" s="1"/>
  <c r="E471" i="1"/>
  <c r="E60" i="1"/>
  <c r="E62" i="1" s="1"/>
  <c r="E69" i="1"/>
  <c r="E68" i="1"/>
  <c r="K40" i="1"/>
  <c r="C24" i="1"/>
  <c r="C25" i="1" s="1"/>
  <c r="C26" i="1" s="1"/>
  <c r="C27" i="1" s="1"/>
  <c r="C41" i="1" s="1"/>
  <c r="C42" i="1" s="1"/>
  <c r="C48" i="1" s="1"/>
  <c r="C29" i="1" s="1"/>
  <c r="C23" i="1"/>
  <c r="A24" i="1"/>
  <c r="A25" i="1" s="1"/>
  <c r="A26" i="1" s="1"/>
  <c r="A27" i="1" s="1"/>
  <c r="A28" i="1" s="1"/>
  <c r="A39" i="1" s="1"/>
  <c r="A23" i="1"/>
  <c r="G40" i="1"/>
  <c r="F40" i="1"/>
  <c r="K23" i="1"/>
  <c r="K1709" i="1" s="1"/>
  <c r="F23" i="1"/>
  <c r="F1709" i="1" s="1"/>
  <c r="G23" i="1"/>
  <c r="G1709" i="1" s="1"/>
  <c r="H40" i="1"/>
  <c r="J40" i="1"/>
  <c r="I40" i="1"/>
  <c r="H23" i="1"/>
  <c r="H1709" i="1" s="1"/>
  <c r="I23" i="1"/>
  <c r="I1709" i="1" s="1"/>
  <c r="J23" i="1"/>
  <c r="J1709" i="1" s="1"/>
  <c r="J8" i="1"/>
  <c r="J1742" i="1" s="1"/>
  <c r="H8" i="1"/>
  <c r="H1742" i="1" s="1"/>
  <c r="G8" i="1"/>
  <c r="G1742" i="1" s="1"/>
  <c r="G49" i="1"/>
  <c r="H49" i="1"/>
  <c r="J49" i="1"/>
  <c r="G32" i="1"/>
  <c r="G1718" i="1" s="1"/>
  <c r="K49" i="1"/>
  <c r="K56" i="1"/>
  <c r="F56" i="1"/>
  <c r="J56" i="1"/>
  <c r="I56" i="1"/>
  <c r="H56" i="1"/>
  <c r="G56" i="1"/>
  <c r="F49" i="1"/>
  <c r="I49" i="1"/>
  <c r="I32" i="1"/>
  <c r="I1718" i="1" s="1"/>
  <c r="H32" i="1"/>
  <c r="H1718" i="1" s="1"/>
  <c r="F32" i="1"/>
  <c r="F1718" i="1" s="1"/>
  <c r="J34" i="1"/>
  <c r="J33" i="1"/>
  <c r="K33" i="1"/>
  <c r="K34" i="1"/>
  <c r="I29" i="1"/>
  <c r="I1715" i="1" s="1"/>
  <c r="K29" i="1"/>
  <c r="K1715" i="1" s="1"/>
  <c r="H29" i="1"/>
  <c r="H1715" i="1" s="1"/>
  <c r="G29" i="1"/>
  <c r="G1715" i="1" s="1"/>
  <c r="J29" i="1"/>
  <c r="J1715" i="1" s="1"/>
  <c r="F29" i="1"/>
  <c r="F1715" i="1" s="1"/>
  <c r="F8" i="1"/>
  <c r="F1742" i="1" s="1"/>
  <c r="K8" i="1"/>
  <c r="K1742" i="1" s="1"/>
  <c r="H3" i="1"/>
  <c r="H1737" i="1" s="1"/>
  <c r="I3" i="1"/>
  <c r="I1737" i="1" s="1"/>
  <c r="J3" i="1"/>
  <c r="J1737" i="1" s="1"/>
  <c r="K3" i="1"/>
  <c r="K1737" i="1" s="1"/>
  <c r="F3" i="1"/>
  <c r="F1737" i="1" s="1"/>
  <c r="G3" i="1"/>
  <c r="G1737" i="1" s="1"/>
  <c r="J39" i="1" l="1"/>
  <c r="J1725" i="1" s="1"/>
  <c r="J1726" i="1"/>
  <c r="I55" i="1"/>
  <c r="F16" i="4" s="1"/>
  <c r="I1735" i="1"/>
  <c r="G55" i="1"/>
  <c r="D16" i="4" s="1"/>
  <c r="G1735" i="1"/>
  <c r="J55" i="1"/>
  <c r="G16" i="4" s="1"/>
  <c r="J1735" i="1"/>
  <c r="J1720" i="1"/>
  <c r="H39" i="1"/>
  <c r="H1725" i="1" s="1"/>
  <c r="H1726" i="1"/>
  <c r="F39" i="1"/>
  <c r="F1725" i="1" s="1"/>
  <c r="F1726" i="1"/>
  <c r="K55" i="1"/>
  <c r="H16" i="4" s="1"/>
  <c r="K1735" i="1"/>
  <c r="H55" i="1"/>
  <c r="E16" i="4" s="1"/>
  <c r="H1735" i="1"/>
  <c r="F55" i="1"/>
  <c r="C16" i="4" s="1"/>
  <c r="F1735" i="1"/>
  <c r="J1719" i="1"/>
  <c r="I39" i="1"/>
  <c r="I1725" i="1" s="1"/>
  <c r="I1726" i="1"/>
  <c r="G39" i="1"/>
  <c r="G1725" i="1" s="1"/>
  <c r="G1726" i="1"/>
  <c r="K1720" i="1"/>
  <c r="K39" i="1"/>
  <c r="K1725" i="1" s="1"/>
  <c r="K1726" i="1"/>
  <c r="K1719" i="1"/>
  <c r="G1655" i="1"/>
  <c r="H1648" i="1"/>
  <c r="I1648" i="1"/>
  <c r="G1648" i="1"/>
  <c r="F1655" i="1"/>
  <c r="I1655" i="1"/>
  <c r="H1655" i="1"/>
  <c r="F1648" i="1"/>
  <c r="J37" i="1"/>
  <c r="J1553" i="1" s="1"/>
  <c r="K37" i="1"/>
  <c r="K1650" i="1" s="1"/>
  <c r="E518" i="1"/>
  <c r="E488" i="1"/>
  <c r="E404" i="1"/>
  <c r="E491" i="1"/>
  <c r="E460" i="1"/>
  <c r="E478" i="1" s="1"/>
  <c r="E458" i="1"/>
  <c r="E477" i="1" s="1"/>
  <c r="A41" i="1"/>
  <c r="A42" i="1" s="1"/>
  <c r="A48" i="1" s="1"/>
  <c r="A29" i="1" s="1"/>
  <c r="A32" i="1" s="1"/>
  <c r="A35" i="1" s="1"/>
  <c r="A30" i="1" s="1"/>
  <c r="A31" i="1" s="1"/>
  <c r="A33" i="1" s="1"/>
  <c r="A34" i="1" s="1"/>
  <c r="A36" i="1" s="1"/>
  <c r="A37" i="1" s="1"/>
  <c r="A49" i="1" s="1"/>
  <c r="A50" i="1" s="1"/>
  <c r="A51" i="1" s="1"/>
  <c r="A52" i="1" s="1"/>
  <c r="A53" i="1" s="1"/>
  <c r="A55" i="1" s="1"/>
  <c r="A56" i="1" s="1"/>
  <c r="A57" i="1" s="1"/>
  <c r="A58" i="1" s="1"/>
  <c r="A59" i="1" s="1"/>
  <c r="C28" i="1"/>
  <c r="C39" i="1" s="1"/>
  <c r="G22" i="1"/>
  <c r="K22" i="1"/>
  <c r="F22" i="1"/>
  <c r="C32" i="1"/>
  <c r="C35" i="1" s="1"/>
  <c r="C30" i="1" s="1"/>
  <c r="C31" i="1" s="1"/>
  <c r="C33" i="1" s="1"/>
  <c r="C34" i="1" s="1"/>
  <c r="C36" i="1" s="1"/>
  <c r="C37" i="1" s="1"/>
  <c r="C40" i="1"/>
  <c r="J22" i="1"/>
  <c r="I22" i="1"/>
  <c r="H22" i="1"/>
  <c r="J32" i="1"/>
  <c r="J1718" i="1" s="1"/>
  <c r="K32" i="1"/>
  <c r="K1718" i="1" s="1"/>
  <c r="J36" i="1"/>
  <c r="J1328" i="1" s="1"/>
  <c r="K36" i="1"/>
  <c r="J1607" i="1" l="1"/>
  <c r="K1553" i="1"/>
  <c r="K1552" i="1" s="1"/>
  <c r="K1551" i="1" s="1"/>
  <c r="J1656" i="1"/>
  <c r="K1182" i="1"/>
  <c r="K1561" i="1"/>
  <c r="K1608" i="1"/>
  <c r="K1329" i="1"/>
  <c r="K1657" i="1"/>
  <c r="K1413" i="1"/>
  <c r="K1600" i="1"/>
  <c r="J1412" i="1"/>
  <c r="K1412" i="1"/>
  <c r="K1601" i="1"/>
  <c r="K1651" i="1"/>
  <c r="K1554" i="1"/>
  <c r="K1510" i="1"/>
  <c r="K1159" i="1"/>
  <c r="J1554" i="1"/>
  <c r="J1601" i="1"/>
  <c r="J1651" i="1"/>
  <c r="J1510" i="1"/>
  <c r="J1159" i="1"/>
  <c r="J1509" i="1"/>
  <c r="J1600" i="1"/>
  <c r="J1650" i="1"/>
  <c r="K1181" i="1"/>
  <c r="K1607" i="1"/>
  <c r="J1329" i="1"/>
  <c r="J1182" i="1"/>
  <c r="J1561" i="1"/>
  <c r="J1608" i="1"/>
  <c r="J1657" i="1"/>
  <c r="J1413" i="1"/>
  <c r="J1158" i="1"/>
  <c r="K1158" i="1"/>
  <c r="K1560" i="1"/>
  <c r="J1181" i="1"/>
  <c r="J1560" i="1"/>
  <c r="K1328" i="1"/>
  <c r="K1509" i="1"/>
  <c r="K1656" i="1"/>
  <c r="K1723" i="1"/>
  <c r="H20" i="1"/>
  <c r="E15" i="4" s="1"/>
  <c r="H1708" i="1"/>
  <c r="I20" i="1"/>
  <c r="F15" i="4" s="1"/>
  <c r="I1708" i="1"/>
  <c r="J20" i="1"/>
  <c r="G15" i="4" s="1"/>
  <c r="J1708" i="1"/>
  <c r="F20" i="1"/>
  <c r="C15" i="4" s="1"/>
  <c r="F1708" i="1"/>
  <c r="K20" i="1"/>
  <c r="H15" i="4" s="1"/>
  <c r="K1708" i="1"/>
  <c r="J1723" i="1"/>
  <c r="G20" i="1"/>
  <c r="D15" i="4" s="1"/>
  <c r="G1708" i="1"/>
  <c r="J1722" i="1"/>
  <c r="K1722" i="1"/>
  <c r="I1654" i="1"/>
  <c r="F1654" i="1"/>
  <c r="G1654" i="1"/>
  <c r="H1654" i="1"/>
  <c r="K35" i="1"/>
  <c r="K1721" i="1" s="1"/>
  <c r="J35" i="1"/>
  <c r="J1721" i="1" s="1"/>
  <c r="C49" i="1"/>
  <c r="C50" i="1" s="1"/>
  <c r="C51" i="1" s="1"/>
  <c r="C52" i="1" s="1"/>
  <c r="C53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72" i="1" s="1"/>
  <c r="C73" i="1" s="1"/>
  <c r="C74" i="1" s="1"/>
  <c r="C76" i="1" s="1"/>
  <c r="C38" i="1"/>
  <c r="E405" i="1"/>
  <c r="E492" i="1"/>
  <c r="A40" i="1"/>
  <c r="A60" i="1"/>
  <c r="A61" i="1" s="1"/>
  <c r="A62" i="1" s="1"/>
  <c r="A63" i="1" s="1"/>
  <c r="A64" i="1" s="1"/>
  <c r="A65" i="1" s="1"/>
  <c r="A66" i="1" s="1"/>
  <c r="A67" i="1" s="1"/>
  <c r="A72" i="1" s="1"/>
  <c r="A73" i="1" s="1"/>
  <c r="A74" i="1" s="1"/>
  <c r="A76" i="1" s="1"/>
  <c r="A68" i="1"/>
  <c r="A69" i="1" s="1"/>
  <c r="A70" i="1" s="1"/>
  <c r="A71" i="1" s="1"/>
  <c r="C43" i="1"/>
  <c r="C44" i="1" s="1"/>
  <c r="C45" i="1" s="1"/>
  <c r="C47" i="1" s="1"/>
  <c r="A54" i="1"/>
  <c r="A43" i="1"/>
  <c r="J1157" i="1" l="1"/>
  <c r="J1156" i="1" s="1"/>
  <c r="J1599" i="1"/>
  <c r="J1598" i="1" s="1"/>
  <c r="K1649" i="1"/>
  <c r="K1599" i="1"/>
  <c r="K1598" i="1" s="1"/>
  <c r="K1606" i="1"/>
  <c r="K1605" i="1" s="1"/>
  <c r="K1655" i="1"/>
  <c r="J1655" i="1"/>
  <c r="J1606" i="1"/>
  <c r="J1605" i="1" s="1"/>
  <c r="J1649" i="1"/>
  <c r="K1648" i="1"/>
  <c r="K1157" i="1"/>
  <c r="K1156" i="1" s="1"/>
  <c r="J1552" i="1"/>
  <c r="J1551" i="1" s="1"/>
  <c r="K1327" i="1"/>
  <c r="K1326" i="1" s="1"/>
  <c r="J1411" i="1"/>
  <c r="J1410" i="1" s="1"/>
  <c r="K1411" i="1"/>
  <c r="K1410" i="1" s="1"/>
  <c r="K1559" i="1"/>
  <c r="K1558" i="1" s="1"/>
  <c r="J1508" i="1"/>
  <c r="J1507" i="1" s="1"/>
  <c r="J1559" i="1"/>
  <c r="J1558" i="1" s="1"/>
  <c r="K1508" i="1"/>
  <c r="K1507" i="1" s="1"/>
  <c r="J1180" i="1"/>
  <c r="J1179" i="1" s="1"/>
  <c r="J1327" i="1"/>
  <c r="J1326" i="1" s="1"/>
  <c r="K1180" i="1"/>
  <c r="K1179" i="1" s="1"/>
  <c r="C54" i="1"/>
  <c r="C68" i="1"/>
  <c r="C69" i="1" s="1"/>
  <c r="C70" i="1" s="1"/>
  <c r="C71" i="1" s="1"/>
  <c r="E406" i="1"/>
  <c r="E502" i="1" s="1"/>
  <c r="E501" i="1"/>
  <c r="E493" i="1"/>
  <c r="C46" i="1"/>
  <c r="C75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A75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44" i="1"/>
  <c r="A46" i="1" s="1"/>
  <c r="J1648" i="1" l="1"/>
  <c r="J1654" i="1"/>
  <c r="K1654" i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7" i="1" s="1"/>
  <c r="A168" i="1" s="1"/>
  <c r="A16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7" i="1" s="1"/>
  <c r="C168" i="1" s="1"/>
  <c r="C165" i="1" s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A45" i="1"/>
  <c r="A47" i="1" s="1"/>
  <c r="C169" i="1" l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66" i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66" i="1"/>
  <c r="G550" i="1" l="1"/>
  <c r="F551" i="1"/>
  <c r="H550" i="1"/>
  <c r="K550" i="1"/>
  <c r="J551" i="1"/>
  <c r="F550" i="1"/>
  <c r="I550" i="1"/>
  <c r="J550" i="1"/>
  <c r="G551" i="1"/>
  <c r="H551" i="1"/>
  <c r="I551" i="1"/>
  <c r="K551" i="1"/>
  <c r="K204" i="1"/>
  <c r="J204" i="1"/>
  <c r="I204" i="1"/>
  <c r="H204" i="1"/>
  <c r="G204" i="1"/>
  <c r="F204" i="1"/>
  <c r="F229" i="1" l="1"/>
  <c r="F579" i="1"/>
  <c r="G229" i="1"/>
  <c r="G579" i="1"/>
  <c r="H229" i="1"/>
  <c r="H579" i="1"/>
  <c r="I229" i="1"/>
  <c r="I579" i="1"/>
  <c r="J229" i="1"/>
  <c r="J579" i="1"/>
  <c r="K229" i="1"/>
  <c r="K579" i="1"/>
  <c r="I227" i="1" l="1"/>
  <c r="I578" i="1"/>
  <c r="F227" i="1"/>
  <c r="F578" i="1"/>
  <c r="J227" i="1"/>
  <c r="J578" i="1"/>
  <c r="G227" i="1"/>
  <c r="G578" i="1"/>
  <c r="H227" i="1"/>
  <c r="H578" i="1"/>
  <c r="K227" i="1"/>
  <c r="K578" i="1"/>
  <c r="K794" i="1" l="1"/>
  <c r="J794" i="1"/>
  <c r="I794" i="1"/>
  <c r="H794" i="1"/>
  <c r="G794" i="1"/>
  <c r="F794" i="1"/>
  <c r="K206" i="1" l="1"/>
  <c r="J206" i="1"/>
  <c r="I206" i="1"/>
  <c r="H206" i="1"/>
  <c r="G206" i="1"/>
  <c r="F206" i="1"/>
  <c r="H436" i="1" l="1"/>
  <c r="F436" i="1"/>
  <c r="G436" i="1"/>
  <c r="I436" i="1"/>
  <c r="J531" i="1"/>
  <c r="K531" i="1"/>
  <c r="J436" i="1"/>
  <c r="K436" i="1"/>
  <c r="G223" i="1" l="1"/>
  <c r="G576" i="1"/>
  <c r="H223" i="1"/>
  <c r="H576" i="1"/>
  <c r="K223" i="1"/>
  <c r="K576" i="1"/>
  <c r="F223" i="1"/>
  <c r="F576" i="1"/>
  <c r="J223" i="1"/>
  <c r="J576" i="1"/>
  <c r="I223" i="1"/>
  <c r="I576" i="1"/>
  <c r="F562" i="1"/>
  <c r="J562" i="1"/>
  <c r="K562" i="1"/>
  <c r="G562" i="1"/>
  <c r="H562" i="1"/>
  <c r="I562" i="1"/>
  <c r="G531" i="1"/>
  <c r="I531" i="1"/>
  <c r="F531" i="1"/>
  <c r="H531" i="1"/>
  <c r="K792" i="1"/>
  <c r="J792" i="1"/>
  <c r="I792" i="1"/>
  <c r="H792" i="1"/>
  <c r="G792" i="1"/>
  <c r="G238" i="1" l="1"/>
  <c r="H238" i="1"/>
  <c r="I238" i="1"/>
  <c r="J238" i="1"/>
  <c r="K238" i="1"/>
  <c r="G195" i="1" l="1"/>
  <c r="K195" i="1"/>
  <c r="H195" i="1"/>
  <c r="I195" i="1"/>
  <c r="J195" i="1"/>
  <c r="F195" i="1"/>
  <c r="F194" i="1"/>
  <c r="F191" i="1" s="1"/>
  <c r="F101" i="1"/>
  <c r="F329" i="1" s="1"/>
  <c r="F345" i="1" s="1"/>
  <c r="F424" i="1" s="1"/>
  <c r="F421" i="1" s="1"/>
  <c r="H194" i="1"/>
  <c r="H191" i="1" s="1"/>
  <c r="H101" i="1"/>
  <c r="H329" i="1" s="1"/>
  <c r="H345" i="1" s="1"/>
  <c r="H424" i="1" s="1"/>
  <c r="H421" i="1" s="1"/>
  <c r="G194" i="1"/>
  <c r="G191" i="1" s="1"/>
  <c r="G101" i="1"/>
  <c r="G329" i="1" s="1"/>
  <c r="G345" i="1" s="1"/>
  <c r="G424" i="1" s="1"/>
  <c r="G421" i="1" s="1"/>
  <c r="I194" i="1"/>
  <c r="I191" i="1" s="1"/>
  <c r="I101" i="1"/>
  <c r="I329" i="1" s="1"/>
  <c r="I345" i="1" s="1"/>
  <c r="I424" i="1" s="1"/>
  <c r="I421" i="1" s="1"/>
  <c r="K194" i="1"/>
  <c r="K191" i="1" s="1"/>
  <c r="K101" i="1"/>
  <c r="K329" i="1" s="1"/>
  <c r="K345" i="1" s="1"/>
  <c r="K424" i="1" s="1"/>
  <c r="K421" i="1" s="1"/>
  <c r="J194" i="1"/>
  <c r="J191" i="1" s="1"/>
  <c r="J101" i="1"/>
  <c r="J329" i="1" s="1"/>
  <c r="J345" i="1" s="1"/>
  <c r="J424" i="1" s="1"/>
  <c r="J421" i="1" s="1"/>
  <c r="J538" i="1" l="1"/>
  <c r="F538" i="1"/>
  <c r="H538" i="1"/>
  <c r="K538" i="1"/>
  <c r="G538" i="1"/>
  <c r="I538" i="1"/>
  <c r="F537" i="1"/>
  <c r="F536" i="1"/>
  <c r="J536" i="1"/>
  <c r="G536" i="1"/>
  <c r="H536" i="1"/>
  <c r="I536" i="1"/>
  <c r="K536" i="1"/>
  <c r="G267" i="1"/>
  <c r="G256" i="1" s="1"/>
  <c r="G108" i="1" l="1"/>
  <c r="G336" i="1" s="1"/>
  <c r="G352" i="1" s="1"/>
  <c r="G497" i="1" s="1"/>
  <c r="G486" i="1" s="1"/>
  <c r="G106" i="1"/>
  <c r="G334" i="1" s="1"/>
  <c r="G350" i="1" s="1"/>
  <c r="G495" i="1" s="1"/>
  <c r="G484" i="1" s="1"/>
  <c r="G265" i="1"/>
  <c r="G254" i="1" s="1"/>
  <c r="K106" i="1"/>
  <c r="K334" i="1" s="1"/>
  <c r="K350" i="1" s="1"/>
  <c r="K495" i="1" s="1"/>
  <c r="K484" i="1" s="1"/>
  <c r="K265" i="1"/>
  <c r="K254" i="1" s="1"/>
  <c r="F107" i="1"/>
  <c r="F335" i="1" s="1"/>
  <c r="F351" i="1" s="1"/>
  <c r="F496" i="1" s="1"/>
  <c r="F485" i="1" s="1"/>
  <c r="F266" i="1"/>
  <c r="F255" i="1" s="1"/>
  <c r="F106" i="1"/>
  <c r="F334" i="1" s="1"/>
  <c r="F350" i="1" s="1"/>
  <c r="F495" i="1" s="1"/>
  <c r="F484" i="1" s="1"/>
  <c r="F265" i="1"/>
  <c r="F254" i="1" s="1"/>
  <c r="J108" i="1"/>
  <c r="J336" i="1" s="1"/>
  <c r="J352" i="1" s="1"/>
  <c r="J497" i="1" s="1"/>
  <c r="J486" i="1" s="1"/>
  <c r="J267" i="1"/>
  <c r="J256" i="1" s="1"/>
  <c r="J106" i="1"/>
  <c r="J334" i="1" s="1"/>
  <c r="J350" i="1" s="1"/>
  <c r="J495" i="1" s="1"/>
  <c r="J484" i="1" s="1"/>
  <c r="J265" i="1"/>
  <c r="J254" i="1" s="1"/>
  <c r="F108" i="1"/>
  <c r="F336" i="1" s="1"/>
  <c r="F352" i="1" s="1"/>
  <c r="F497" i="1" s="1"/>
  <c r="F486" i="1" s="1"/>
  <c r="F267" i="1"/>
  <c r="F256" i="1" s="1"/>
  <c r="I106" i="1"/>
  <c r="I334" i="1" s="1"/>
  <c r="I350" i="1" s="1"/>
  <c r="I495" i="1" s="1"/>
  <c r="I484" i="1" s="1"/>
  <c r="I265" i="1"/>
  <c r="I254" i="1" s="1"/>
  <c r="H108" i="1"/>
  <c r="H336" i="1" s="1"/>
  <c r="H352" i="1" s="1"/>
  <c r="H497" i="1" s="1"/>
  <c r="H486" i="1" s="1"/>
  <c r="H267" i="1"/>
  <c r="H256" i="1" s="1"/>
  <c r="H106" i="1"/>
  <c r="H334" i="1" s="1"/>
  <c r="H350" i="1" s="1"/>
  <c r="H495" i="1" s="1"/>
  <c r="H484" i="1" s="1"/>
  <c r="H265" i="1"/>
  <c r="H254" i="1" s="1"/>
  <c r="K108" i="1"/>
  <c r="K336" i="1" s="1"/>
  <c r="K352" i="1" s="1"/>
  <c r="K497" i="1" s="1"/>
  <c r="K486" i="1" s="1"/>
  <c r="K267" i="1"/>
  <c r="K256" i="1" s="1"/>
  <c r="I108" i="1"/>
  <c r="I336" i="1" s="1"/>
  <c r="I352" i="1" s="1"/>
  <c r="I497" i="1" s="1"/>
  <c r="I486" i="1" s="1"/>
  <c r="I267" i="1"/>
  <c r="I256" i="1" s="1"/>
  <c r="K549" i="1" l="1"/>
  <c r="J549" i="1"/>
  <c r="I549" i="1"/>
  <c r="H549" i="1"/>
  <c r="G549" i="1"/>
  <c r="F549" i="1"/>
  <c r="F367" i="1" l="1"/>
  <c r="G367" i="1"/>
  <c r="H367" i="1"/>
  <c r="I367" i="1"/>
  <c r="J367" i="1"/>
  <c r="K367" i="1"/>
  <c r="K430" i="1" l="1"/>
  <c r="K433" i="1" s="1"/>
  <c r="J545" i="1"/>
  <c r="I430" i="1"/>
  <c r="I433" i="1" s="1"/>
  <c r="H545" i="1"/>
  <c r="G430" i="1"/>
  <c r="G433" i="1" s="1"/>
  <c r="F545" i="1"/>
  <c r="I200" i="1"/>
  <c r="I203" i="1" s="1"/>
  <c r="J146" i="1"/>
  <c r="J374" i="1" s="1"/>
  <c r="I146" i="1"/>
  <c r="I374" i="1" s="1"/>
  <c r="H200" i="1"/>
  <c r="H203" i="1" s="1"/>
  <c r="H146" i="1"/>
  <c r="H374" i="1" s="1"/>
  <c r="G200" i="1"/>
  <c r="G203" i="1" s="1"/>
  <c r="G146" i="1"/>
  <c r="G374" i="1" s="1"/>
  <c r="F200" i="1"/>
  <c r="F203" i="1" s="1"/>
  <c r="F146" i="1"/>
  <c r="F374" i="1" s="1"/>
  <c r="K200" i="1"/>
  <c r="K203" i="1" s="1"/>
  <c r="K146" i="1"/>
  <c r="K374" i="1" s="1"/>
  <c r="J200" i="1"/>
  <c r="J203" i="1" s="1"/>
  <c r="K545" i="1" l="1"/>
  <c r="H430" i="1"/>
  <c r="H433" i="1" s="1"/>
  <c r="F430" i="1"/>
  <c r="F433" i="1" s="1"/>
  <c r="J430" i="1"/>
  <c r="J433" i="1" s="1"/>
  <c r="I545" i="1"/>
  <c r="G545" i="1"/>
  <c r="J425" i="1"/>
  <c r="H425" i="1"/>
  <c r="G425" i="1"/>
  <c r="K425" i="1"/>
  <c r="F425" i="1"/>
  <c r="I425" i="1"/>
  <c r="F434" i="1"/>
  <c r="K434" i="1"/>
  <c r="G434" i="1"/>
  <c r="I434" i="1"/>
  <c r="H434" i="1"/>
  <c r="J434" i="1"/>
  <c r="J544" i="1" l="1"/>
  <c r="K544" i="1"/>
  <c r="H544" i="1"/>
  <c r="H548" i="1"/>
  <c r="F548" i="1"/>
  <c r="G548" i="1"/>
  <c r="I548" i="1"/>
  <c r="K548" i="1"/>
  <c r="J548" i="1"/>
  <c r="G544" i="1"/>
  <c r="I544" i="1"/>
  <c r="F544" i="1"/>
  <c r="K145" i="1"/>
  <c r="K366" i="1"/>
  <c r="K429" i="1" s="1"/>
  <c r="J145" i="1"/>
  <c r="J366" i="1"/>
  <c r="J429" i="1" s="1"/>
  <c r="I199" i="1"/>
  <c r="I202" i="1" s="1"/>
  <c r="I201" i="1" s="1"/>
  <c r="I366" i="1"/>
  <c r="I429" i="1" s="1"/>
  <c r="H145" i="1"/>
  <c r="H366" i="1"/>
  <c r="H429" i="1" s="1"/>
  <c r="F199" i="1"/>
  <c r="F202" i="1" s="1"/>
  <c r="F201" i="1" s="1"/>
  <c r="F366" i="1"/>
  <c r="F429" i="1" s="1"/>
  <c r="G199" i="1"/>
  <c r="G198" i="1" s="1"/>
  <c r="G366" i="1"/>
  <c r="G429" i="1" s="1"/>
  <c r="G145" i="1"/>
  <c r="F145" i="1"/>
  <c r="K199" i="1"/>
  <c r="K202" i="1" s="1"/>
  <c r="K201" i="1" s="1"/>
  <c r="J199" i="1"/>
  <c r="J202" i="1" s="1"/>
  <c r="J201" i="1" s="1"/>
  <c r="I145" i="1"/>
  <c r="H199" i="1"/>
  <c r="H202" i="1" s="1"/>
  <c r="H201" i="1" s="1"/>
  <c r="F198" i="1" l="1"/>
  <c r="F428" i="1"/>
  <c r="F432" i="1"/>
  <c r="F431" i="1" s="1"/>
  <c r="H428" i="1"/>
  <c r="H432" i="1"/>
  <c r="H431" i="1" s="1"/>
  <c r="I428" i="1"/>
  <c r="I432" i="1"/>
  <c r="I431" i="1" s="1"/>
  <c r="K428" i="1"/>
  <c r="K432" i="1"/>
  <c r="K431" i="1" s="1"/>
  <c r="G428" i="1"/>
  <c r="G432" i="1"/>
  <c r="G431" i="1" s="1"/>
  <c r="J428" i="1"/>
  <c r="J432" i="1"/>
  <c r="J431" i="1" s="1"/>
  <c r="J373" i="1"/>
  <c r="H373" i="1"/>
  <c r="I198" i="1"/>
  <c r="F373" i="1"/>
  <c r="K198" i="1"/>
  <c r="G202" i="1"/>
  <c r="G201" i="1" s="1"/>
  <c r="G373" i="1"/>
  <c r="I373" i="1"/>
  <c r="J198" i="1"/>
  <c r="K373" i="1"/>
  <c r="H198" i="1"/>
  <c r="K564" i="1" l="1"/>
  <c r="F564" i="1"/>
  <c r="H564" i="1"/>
  <c r="J564" i="1"/>
  <c r="G564" i="1"/>
  <c r="I564" i="1"/>
  <c r="G541" i="1"/>
  <c r="J541" i="1"/>
  <c r="K541" i="1"/>
  <c r="F541" i="1"/>
  <c r="H541" i="1"/>
  <c r="I541" i="1"/>
  <c r="G534" i="1"/>
  <c r="K534" i="1"/>
  <c r="I534" i="1"/>
  <c r="H534" i="1"/>
  <c r="J534" i="1"/>
  <c r="F534" i="1"/>
  <c r="F263" i="1"/>
  <c r="F252" i="1" s="1"/>
  <c r="G263" i="1"/>
  <c r="G252" i="1" s="1"/>
  <c r="H263" i="1"/>
  <c r="H252" i="1" s="1"/>
  <c r="I263" i="1"/>
  <c r="I252" i="1" s="1"/>
  <c r="K263" i="1"/>
  <c r="K252" i="1" s="1"/>
  <c r="J263" i="1"/>
  <c r="J252" i="1" s="1"/>
  <c r="F516" i="1" l="1"/>
  <c r="K395" i="1"/>
  <c r="K516" i="1"/>
  <c r="G395" i="1"/>
  <c r="G516" i="1"/>
  <c r="J395" i="1"/>
  <c r="J516" i="1"/>
  <c r="H395" i="1"/>
  <c r="H516" i="1"/>
  <c r="I395" i="1"/>
  <c r="I516" i="1"/>
  <c r="G111" i="1"/>
  <c r="G339" i="1" s="1"/>
  <c r="G355" i="1" s="1"/>
  <c r="G500" i="1" s="1"/>
  <c r="G489" i="1" s="1"/>
  <c r="G270" i="1"/>
  <c r="G259" i="1" s="1"/>
  <c r="I111" i="1"/>
  <c r="I339" i="1" s="1"/>
  <c r="I355" i="1" s="1"/>
  <c r="I500" i="1" s="1"/>
  <c r="I489" i="1" s="1"/>
  <c r="I270" i="1"/>
  <c r="I259" i="1" s="1"/>
  <c r="F111" i="1"/>
  <c r="F339" i="1" s="1"/>
  <c r="F355" i="1" s="1"/>
  <c r="F500" i="1" s="1"/>
  <c r="F489" i="1" s="1"/>
  <c r="F270" i="1"/>
  <c r="F259" i="1" s="1"/>
  <c r="K111" i="1"/>
  <c r="K339" i="1" s="1"/>
  <c r="K355" i="1" s="1"/>
  <c r="K500" i="1" s="1"/>
  <c r="K489" i="1" s="1"/>
  <c r="K270" i="1"/>
  <c r="K259" i="1" s="1"/>
  <c r="J111" i="1"/>
  <c r="J339" i="1" s="1"/>
  <c r="J355" i="1" s="1"/>
  <c r="J500" i="1" s="1"/>
  <c r="J489" i="1" s="1"/>
  <c r="J270" i="1"/>
  <c r="J259" i="1" s="1"/>
  <c r="H111" i="1"/>
  <c r="H339" i="1" s="1"/>
  <c r="H355" i="1" s="1"/>
  <c r="H500" i="1" s="1"/>
  <c r="H489" i="1" s="1"/>
  <c r="H270" i="1"/>
  <c r="H259" i="1" s="1"/>
  <c r="I104" i="1"/>
  <c r="I332" i="1" s="1"/>
  <c r="I348" i="1" s="1"/>
  <c r="I493" i="1" s="1"/>
  <c r="I482" i="1" s="1"/>
  <c r="G104" i="1"/>
  <c r="G332" i="1" s="1"/>
  <c r="G348" i="1" s="1"/>
  <c r="G493" i="1" s="1"/>
  <c r="G482" i="1" s="1"/>
  <c r="H104" i="1"/>
  <c r="H332" i="1" s="1"/>
  <c r="H348" i="1" s="1"/>
  <c r="H493" i="1" s="1"/>
  <c r="H482" i="1" s="1"/>
  <c r="J104" i="1"/>
  <c r="J332" i="1" s="1"/>
  <c r="J348" i="1" s="1"/>
  <c r="J493" i="1" s="1"/>
  <c r="J482" i="1" s="1"/>
  <c r="K104" i="1"/>
  <c r="K332" i="1" s="1"/>
  <c r="K348" i="1" s="1"/>
  <c r="K493" i="1" s="1"/>
  <c r="K482" i="1" s="1"/>
  <c r="F104" i="1"/>
  <c r="F332" i="1" s="1"/>
  <c r="F348" i="1" s="1"/>
  <c r="F493" i="1" s="1"/>
  <c r="F482" i="1" s="1"/>
  <c r="F563" i="1" l="1"/>
  <c r="H563" i="1"/>
  <c r="K563" i="1"/>
  <c r="J563" i="1"/>
  <c r="G563" i="1"/>
  <c r="I563" i="1"/>
  <c r="I365" i="1" l="1"/>
  <c r="I543" i="1"/>
  <c r="F365" i="1"/>
  <c r="F543" i="1"/>
  <c r="H144" i="1"/>
  <c r="H543" i="1"/>
  <c r="J365" i="1"/>
  <c r="J543" i="1"/>
  <c r="G144" i="1"/>
  <c r="G543" i="1"/>
  <c r="K144" i="1"/>
  <c r="K543" i="1"/>
  <c r="F547" i="1"/>
  <c r="F147" i="1"/>
  <c r="K147" i="1"/>
  <c r="J147" i="1"/>
  <c r="I147" i="1"/>
  <c r="H147" i="1"/>
  <c r="G147" i="1"/>
  <c r="K542" i="1"/>
  <c r="J542" i="1"/>
  <c r="I542" i="1"/>
  <c r="H542" i="1"/>
  <c r="G542" i="1"/>
  <c r="F542" i="1"/>
  <c r="I144" i="1" l="1"/>
  <c r="H365" i="1"/>
  <c r="H372" i="1" s="1"/>
  <c r="F144" i="1"/>
  <c r="F372" i="1" s="1"/>
  <c r="J144" i="1"/>
  <c r="J372" i="1" s="1"/>
  <c r="G365" i="1"/>
  <c r="G372" i="1" s="1"/>
  <c r="K365" i="1"/>
  <c r="K372" i="1" s="1"/>
  <c r="G148" i="1"/>
  <c r="G547" i="1"/>
  <c r="I148" i="1"/>
  <c r="I547" i="1"/>
  <c r="F148" i="1"/>
  <c r="K148" i="1"/>
  <c r="K547" i="1"/>
  <c r="H148" i="1"/>
  <c r="H547" i="1"/>
  <c r="J148" i="1"/>
  <c r="J547" i="1"/>
  <c r="I372" i="1"/>
  <c r="F128" i="1"/>
  <c r="G128" i="1"/>
  <c r="H128" i="1"/>
  <c r="I128" i="1"/>
  <c r="J128" i="1"/>
  <c r="K128" i="1"/>
  <c r="J376" i="1" l="1"/>
  <c r="J369" i="1"/>
  <c r="H376" i="1"/>
  <c r="H369" i="1"/>
  <c r="K376" i="1"/>
  <c r="K369" i="1"/>
  <c r="F376" i="1"/>
  <c r="F369" i="1"/>
  <c r="I376" i="1"/>
  <c r="I369" i="1"/>
  <c r="G376" i="1"/>
  <c r="G369" i="1"/>
  <c r="K135" i="1"/>
  <c r="K364" i="1"/>
  <c r="J135" i="1"/>
  <c r="J364" i="1"/>
  <c r="I135" i="1"/>
  <c r="I364" i="1"/>
  <c r="H135" i="1"/>
  <c r="H364" i="1"/>
  <c r="G135" i="1"/>
  <c r="G364" i="1"/>
  <c r="F135" i="1"/>
  <c r="F364" i="1"/>
  <c r="K143" i="1"/>
  <c r="K142" i="1" s="1"/>
  <c r="J143" i="1"/>
  <c r="J142" i="1" s="1"/>
  <c r="I143" i="1"/>
  <c r="I142" i="1" s="1"/>
  <c r="H143" i="1"/>
  <c r="H142" i="1" s="1"/>
  <c r="G143" i="1"/>
  <c r="G142" i="1" s="1"/>
  <c r="F143" i="1"/>
  <c r="F142" i="1" s="1"/>
  <c r="G363" i="1" l="1"/>
  <c r="G371" i="1"/>
  <c r="I371" i="1"/>
  <c r="I363" i="1"/>
  <c r="K371" i="1"/>
  <c r="K363" i="1"/>
  <c r="F363" i="1"/>
  <c r="F371" i="1"/>
  <c r="H371" i="1"/>
  <c r="H363" i="1"/>
  <c r="J371" i="1"/>
  <c r="J363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157" i="1"/>
  <c r="J157" i="1"/>
  <c r="I157" i="1"/>
  <c r="H157" i="1"/>
  <c r="G157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2" i="1"/>
  <c r="J522" i="1"/>
  <c r="I522" i="1"/>
  <c r="H522" i="1"/>
  <c r="G522" i="1"/>
  <c r="K521" i="1"/>
  <c r="J521" i="1"/>
  <c r="I521" i="1"/>
  <c r="H521" i="1"/>
  <c r="G521" i="1"/>
  <c r="F157" i="1"/>
  <c r="F523" i="1"/>
  <c r="F522" i="1"/>
  <c r="F521" i="1"/>
  <c r="K554" i="1" l="1"/>
  <c r="I554" i="1"/>
  <c r="G554" i="1"/>
  <c r="H554" i="1"/>
  <c r="J554" i="1"/>
  <c r="I553" i="1"/>
  <c r="G553" i="1"/>
  <c r="J553" i="1"/>
  <c r="H553" i="1"/>
  <c r="K553" i="1"/>
  <c r="I540" i="1"/>
  <c r="G540" i="1"/>
  <c r="H540" i="1"/>
  <c r="K540" i="1"/>
  <c r="J540" i="1"/>
  <c r="K498" i="1"/>
  <c r="J498" i="1"/>
  <c r="I498" i="1"/>
  <c r="G498" i="1"/>
  <c r="H498" i="1"/>
  <c r="G537" i="1"/>
  <c r="I537" i="1"/>
  <c r="K537" i="1"/>
  <c r="H537" i="1"/>
  <c r="J537" i="1"/>
  <c r="J535" i="1"/>
  <c r="I535" i="1"/>
  <c r="K535" i="1"/>
  <c r="G535" i="1"/>
  <c r="H535" i="1"/>
  <c r="J62" i="1"/>
  <c r="J520" i="1"/>
  <c r="G62" i="1"/>
  <c r="G520" i="1"/>
  <c r="I62" i="1"/>
  <c r="I520" i="1"/>
  <c r="H62" i="1"/>
  <c r="H520" i="1"/>
  <c r="I377" i="1"/>
  <c r="H377" i="1"/>
  <c r="J377" i="1"/>
  <c r="G377" i="1"/>
  <c r="K377" i="1"/>
  <c r="G167" i="1"/>
  <c r="G166" i="1"/>
  <c r="G561" i="1" s="1"/>
  <c r="I167" i="1"/>
  <c r="I166" i="1"/>
  <c r="I561" i="1" s="1"/>
  <c r="H167" i="1"/>
  <c r="H166" i="1"/>
  <c r="H561" i="1" s="1"/>
  <c r="J167" i="1"/>
  <c r="J166" i="1"/>
  <c r="J561" i="1" s="1"/>
  <c r="K167" i="1"/>
  <c r="K166" i="1"/>
  <c r="K561" i="1" s="1"/>
  <c r="H98" i="1"/>
  <c r="H326" i="1" s="1"/>
  <c r="H342" i="1" s="1"/>
  <c r="J98" i="1"/>
  <c r="J326" i="1" s="1"/>
  <c r="J342" i="1" s="1"/>
  <c r="G98" i="1"/>
  <c r="G326" i="1" s="1"/>
  <c r="G342" i="1" s="1"/>
  <c r="H99" i="1"/>
  <c r="H327" i="1" s="1"/>
  <c r="H343" i="1" s="1"/>
  <c r="G125" i="1"/>
  <c r="G268" i="1" s="1"/>
  <c r="G257" i="1" s="1"/>
  <c r="I98" i="1"/>
  <c r="I326" i="1" s="1"/>
  <c r="I342" i="1" s="1"/>
  <c r="K98" i="1"/>
  <c r="K326" i="1" s="1"/>
  <c r="K342" i="1" s="1"/>
  <c r="G99" i="1"/>
  <c r="G327" i="1" s="1"/>
  <c r="G343" i="1" s="1"/>
  <c r="H125" i="1"/>
  <c r="I99" i="1"/>
  <c r="I327" i="1" s="1"/>
  <c r="I343" i="1" s="1"/>
  <c r="I100" i="1"/>
  <c r="I125" i="1"/>
  <c r="J99" i="1"/>
  <c r="J327" i="1" s="1"/>
  <c r="J343" i="1" s="1"/>
  <c r="J100" i="1"/>
  <c r="J125" i="1"/>
  <c r="G100" i="1"/>
  <c r="H100" i="1"/>
  <c r="K100" i="1"/>
  <c r="K125" i="1"/>
  <c r="H72" i="1"/>
  <c r="I72" i="1"/>
  <c r="G72" i="1"/>
  <c r="K72" i="1"/>
  <c r="G149" i="1"/>
  <c r="I171" i="1"/>
  <c r="F64" i="1"/>
  <c r="H97" i="1"/>
  <c r="H325" i="1" s="1"/>
  <c r="H341" i="1" s="1"/>
  <c r="H149" i="1"/>
  <c r="G97" i="1"/>
  <c r="G325" i="1" s="1"/>
  <c r="G341" i="1" s="1"/>
  <c r="I97" i="1"/>
  <c r="I325" i="1" s="1"/>
  <c r="I341" i="1" s="1"/>
  <c r="I149" i="1"/>
  <c r="J72" i="1"/>
  <c r="J97" i="1"/>
  <c r="J325" i="1" s="1"/>
  <c r="J341" i="1" s="1"/>
  <c r="J149" i="1"/>
  <c r="K97" i="1"/>
  <c r="K325" i="1" s="1"/>
  <c r="K341" i="1" s="1"/>
  <c r="K149" i="1"/>
  <c r="G159" i="1"/>
  <c r="G171" i="1"/>
  <c r="F159" i="1"/>
  <c r="H159" i="1"/>
  <c r="H171" i="1"/>
  <c r="I159" i="1"/>
  <c r="J159" i="1"/>
  <c r="J171" i="1"/>
  <c r="K159" i="1"/>
  <c r="K171" i="1"/>
  <c r="K529" i="1"/>
  <c r="F12" i="1"/>
  <c r="F1746" i="1" s="1"/>
  <c r="F1706" i="1" s="1"/>
  <c r="K575" i="1"/>
  <c r="J575" i="1"/>
  <c r="I575" i="1"/>
  <c r="H575" i="1"/>
  <c r="G575" i="1"/>
  <c r="F575" i="1"/>
  <c r="K213" i="1"/>
  <c r="J213" i="1"/>
  <c r="I213" i="1"/>
  <c r="G213" i="1"/>
  <c r="F213" i="1"/>
  <c r="K186" i="1"/>
  <c r="J186" i="1"/>
  <c r="I186" i="1"/>
  <c r="H186" i="1"/>
  <c r="G186" i="1"/>
  <c r="F186" i="1"/>
  <c r="F571" i="1"/>
  <c r="F570" i="1"/>
  <c r="F569" i="1"/>
  <c r="F568" i="1"/>
  <c r="F567" i="1"/>
  <c r="F566" i="1"/>
  <c r="F565" i="1"/>
  <c r="F529" i="1"/>
  <c r="F528" i="1"/>
  <c r="F527" i="1"/>
  <c r="H573" i="1" l="1"/>
  <c r="H213" i="1"/>
  <c r="K795" i="1"/>
  <c r="F791" i="1"/>
  <c r="G791" i="1"/>
  <c r="J791" i="1"/>
  <c r="F375" i="1"/>
  <c r="F370" i="1" s="1"/>
  <c r="F795" i="1"/>
  <c r="H791" i="1"/>
  <c r="K791" i="1"/>
  <c r="G508" i="1"/>
  <c r="G507" i="1" s="1"/>
  <c r="G795" i="1"/>
  <c r="H501" i="1"/>
  <c r="H795" i="1"/>
  <c r="I791" i="1"/>
  <c r="I795" i="1"/>
  <c r="J508" i="1"/>
  <c r="J507" i="1" s="1"/>
  <c r="J795" i="1"/>
  <c r="G539" i="1"/>
  <c r="F215" i="1"/>
  <c r="F574" i="1"/>
  <c r="J510" i="1"/>
  <c r="I510" i="1"/>
  <c r="H510" i="1"/>
  <c r="F554" i="1"/>
  <c r="K510" i="1"/>
  <c r="G510" i="1"/>
  <c r="F553" i="1"/>
  <c r="I552" i="1"/>
  <c r="J552" i="1"/>
  <c r="K552" i="1"/>
  <c r="F510" i="1"/>
  <c r="H552" i="1"/>
  <c r="G552" i="1"/>
  <c r="K501" i="1"/>
  <c r="J539" i="1"/>
  <c r="K539" i="1"/>
  <c r="H539" i="1"/>
  <c r="I539" i="1"/>
  <c r="F540" i="1"/>
  <c r="F498" i="1"/>
  <c r="F535" i="1"/>
  <c r="K533" i="1"/>
  <c r="I533" i="1"/>
  <c r="K532" i="1"/>
  <c r="J533" i="1"/>
  <c r="I468" i="1"/>
  <c r="H532" i="1"/>
  <c r="G533" i="1"/>
  <c r="H533" i="1"/>
  <c r="I64" i="1"/>
  <c r="I523" i="1"/>
  <c r="F62" i="1"/>
  <c r="F520" i="1"/>
  <c r="J64" i="1"/>
  <c r="J523" i="1"/>
  <c r="K62" i="1"/>
  <c r="K520" i="1"/>
  <c r="K64" i="1"/>
  <c r="K523" i="1"/>
  <c r="H64" i="1"/>
  <c r="H523" i="1"/>
  <c r="G64" i="1"/>
  <c r="G523" i="1"/>
  <c r="F377" i="1"/>
  <c r="J232" i="1"/>
  <c r="K232" i="1"/>
  <c r="G232" i="1"/>
  <c r="H232" i="1"/>
  <c r="F182" i="1"/>
  <c r="I232" i="1"/>
  <c r="F232" i="1"/>
  <c r="G109" i="1"/>
  <c r="K356" i="1"/>
  <c r="K368" i="1"/>
  <c r="K375" i="1"/>
  <c r="K370" i="1" s="1"/>
  <c r="F368" i="1"/>
  <c r="J356" i="1"/>
  <c r="J368" i="1"/>
  <c r="J375" i="1"/>
  <c r="J370" i="1" s="1"/>
  <c r="F278" i="1"/>
  <c r="F277" i="1" s="1"/>
  <c r="F271" i="1"/>
  <c r="H278" i="1"/>
  <c r="H277" i="1" s="1"/>
  <c r="H271" i="1"/>
  <c r="I278" i="1"/>
  <c r="I277" i="1" s="1"/>
  <c r="I271" i="1"/>
  <c r="J278" i="1"/>
  <c r="J277" i="1" s="1"/>
  <c r="J271" i="1"/>
  <c r="K278" i="1"/>
  <c r="K277" i="1" s="1"/>
  <c r="K271" i="1"/>
  <c r="G278" i="1"/>
  <c r="G277" i="1" s="1"/>
  <c r="G271" i="1"/>
  <c r="K110" i="1"/>
  <c r="K269" i="1"/>
  <c r="K258" i="1" s="1"/>
  <c r="I110" i="1"/>
  <c r="I269" i="1"/>
  <c r="I258" i="1" s="1"/>
  <c r="I109" i="1"/>
  <c r="I268" i="1"/>
  <c r="I257" i="1" s="1"/>
  <c r="H110" i="1"/>
  <c r="H269" i="1"/>
  <c r="H258" i="1" s="1"/>
  <c r="G110" i="1"/>
  <c r="G269" i="1"/>
  <c r="G258" i="1" s="1"/>
  <c r="H109" i="1"/>
  <c r="H268" i="1"/>
  <c r="H257" i="1" s="1"/>
  <c r="J110" i="1"/>
  <c r="J269" i="1"/>
  <c r="J258" i="1" s="1"/>
  <c r="K109" i="1"/>
  <c r="K268" i="1"/>
  <c r="K257" i="1" s="1"/>
  <c r="J109" i="1"/>
  <c r="J268" i="1"/>
  <c r="J257" i="1" s="1"/>
  <c r="K107" i="1"/>
  <c r="K335" i="1" s="1"/>
  <c r="K351" i="1" s="1"/>
  <c r="K496" i="1" s="1"/>
  <c r="K485" i="1" s="1"/>
  <c r="K266" i="1"/>
  <c r="K255" i="1" s="1"/>
  <c r="I107" i="1"/>
  <c r="I335" i="1" s="1"/>
  <c r="I351" i="1" s="1"/>
  <c r="I496" i="1" s="1"/>
  <c r="I485" i="1" s="1"/>
  <c r="I266" i="1"/>
  <c r="I255" i="1" s="1"/>
  <c r="I105" i="1"/>
  <c r="I333" i="1" s="1"/>
  <c r="I349" i="1" s="1"/>
  <c r="I494" i="1" s="1"/>
  <c r="I483" i="1" s="1"/>
  <c r="I264" i="1"/>
  <c r="I253" i="1" s="1"/>
  <c r="G107" i="1"/>
  <c r="G335" i="1" s="1"/>
  <c r="G351" i="1" s="1"/>
  <c r="G496" i="1" s="1"/>
  <c r="G485" i="1" s="1"/>
  <c r="G266" i="1"/>
  <c r="G255" i="1" s="1"/>
  <c r="J107" i="1"/>
  <c r="J335" i="1" s="1"/>
  <c r="J351" i="1" s="1"/>
  <c r="J496" i="1" s="1"/>
  <c r="J485" i="1" s="1"/>
  <c r="J266" i="1"/>
  <c r="J255" i="1" s="1"/>
  <c r="H107" i="1"/>
  <c r="H335" i="1" s="1"/>
  <c r="H351" i="1" s="1"/>
  <c r="H496" i="1" s="1"/>
  <c r="H485" i="1" s="1"/>
  <c r="H266" i="1"/>
  <c r="H255" i="1" s="1"/>
  <c r="H105" i="1"/>
  <c r="H333" i="1" s="1"/>
  <c r="H349" i="1" s="1"/>
  <c r="H494" i="1" s="1"/>
  <c r="H483" i="1" s="1"/>
  <c r="H264" i="1"/>
  <c r="H253" i="1" s="1"/>
  <c r="J105" i="1"/>
  <c r="J333" i="1" s="1"/>
  <c r="J349" i="1" s="1"/>
  <c r="J494" i="1" s="1"/>
  <c r="J483" i="1" s="1"/>
  <c r="J264" i="1"/>
  <c r="J253" i="1" s="1"/>
  <c r="K105" i="1"/>
  <c r="K333" i="1" s="1"/>
  <c r="K349" i="1" s="1"/>
  <c r="K494" i="1" s="1"/>
  <c r="K483" i="1" s="1"/>
  <c r="K264" i="1"/>
  <c r="K253" i="1" s="1"/>
  <c r="G105" i="1"/>
  <c r="G333" i="1" s="1"/>
  <c r="G349" i="1" s="1"/>
  <c r="G494" i="1" s="1"/>
  <c r="G483" i="1" s="1"/>
  <c r="G264" i="1"/>
  <c r="G253" i="1" s="1"/>
  <c r="H220" i="1"/>
  <c r="H219" i="1" s="1"/>
  <c r="H217" i="1"/>
  <c r="K220" i="1"/>
  <c r="K219" i="1" s="1"/>
  <c r="K217" i="1"/>
  <c r="I220" i="1"/>
  <c r="I219" i="1" s="1"/>
  <c r="I217" i="1"/>
  <c r="J220" i="1"/>
  <c r="J219" i="1" s="1"/>
  <c r="J217" i="1"/>
  <c r="G220" i="1"/>
  <c r="G219" i="1" s="1"/>
  <c r="G217" i="1"/>
  <c r="F220" i="1"/>
  <c r="F219" i="1" s="1"/>
  <c r="F217" i="1"/>
  <c r="H212" i="1"/>
  <c r="H211" i="1" s="1"/>
  <c r="H209" i="1"/>
  <c r="G237" i="1"/>
  <c r="H237" i="1"/>
  <c r="I237" i="1"/>
  <c r="J237" i="1"/>
  <c r="K237" i="1"/>
  <c r="I193" i="1"/>
  <c r="K193" i="1"/>
  <c r="G193" i="1"/>
  <c r="H193" i="1"/>
  <c r="F167" i="1"/>
  <c r="F166" i="1"/>
  <c r="F561" i="1" s="1"/>
  <c r="G261" i="1"/>
  <c r="K261" i="1"/>
  <c r="J262" i="1"/>
  <c r="J251" i="1" s="1"/>
  <c r="I262" i="1"/>
  <c r="I251" i="1" s="1"/>
  <c r="F98" i="1"/>
  <c r="F326" i="1" s="1"/>
  <c r="F342" i="1" s="1"/>
  <c r="I261" i="1"/>
  <c r="G262" i="1"/>
  <c r="G251" i="1" s="1"/>
  <c r="K262" i="1"/>
  <c r="K251" i="1" s="1"/>
  <c r="F99" i="1"/>
  <c r="F327" i="1" s="1"/>
  <c r="F343" i="1" s="1"/>
  <c r="J193" i="1"/>
  <c r="F72" i="1"/>
  <c r="F193" i="1"/>
  <c r="H262" i="1"/>
  <c r="H251" i="1" s="1"/>
  <c r="F125" i="1"/>
  <c r="J261" i="1"/>
  <c r="H261" i="1"/>
  <c r="K99" i="1"/>
  <c r="K327" i="1" s="1"/>
  <c r="K343" i="1" s="1"/>
  <c r="F573" i="1"/>
  <c r="J573" i="1"/>
  <c r="F181" i="1"/>
  <c r="F237" i="1"/>
  <c r="F236" i="1" s="1"/>
  <c r="G181" i="1"/>
  <c r="I181" i="1"/>
  <c r="K181" i="1"/>
  <c r="F185" i="1"/>
  <c r="F184" i="1" s="1"/>
  <c r="H181" i="1"/>
  <c r="I185" i="1"/>
  <c r="I184" i="1" s="1"/>
  <c r="J181" i="1"/>
  <c r="I80" i="1"/>
  <c r="F97" i="1"/>
  <c r="F325" i="1" s="1"/>
  <c r="F341" i="1" s="1"/>
  <c r="F171" i="1"/>
  <c r="H185" i="1"/>
  <c r="H184" i="1" s="1"/>
  <c r="G80" i="1"/>
  <c r="I573" i="1"/>
  <c r="F149" i="1"/>
  <c r="G573" i="1"/>
  <c r="K185" i="1"/>
  <c r="K184" i="1" s="1"/>
  <c r="G185" i="1"/>
  <c r="G184" i="1" s="1"/>
  <c r="H80" i="1"/>
  <c r="K80" i="1"/>
  <c r="K573" i="1"/>
  <c r="J185" i="1"/>
  <c r="J184" i="1" s="1"/>
  <c r="J80" i="1"/>
  <c r="I12" i="1"/>
  <c r="I1746" i="1" s="1"/>
  <c r="I1706" i="1" s="1"/>
  <c r="J12" i="1"/>
  <c r="J1746" i="1" s="1"/>
  <c r="J1706" i="1" s="1"/>
  <c r="K12" i="1"/>
  <c r="K1746" i="1" s="1"/>
  <c r="K1706" i="1" s="1"/>
  <c r="G12" i="1"/>
  <c r="G1746" i="1" s="1"/>
  <c r="G1706" i="1" s="1"/>
  <c r="H12" i="1"/>
  <c r="H1746" i="1" s="1"/>
  <c r="H1706" i="1" s="1"/>
  <c r="I368" i="1" l="1"/>
  <c r="J468" i="1"/>
  <c r="I375" i="1"/>
  <c r="I370" i="1" s="1"/>
  <c r="I356" i="1"/>
  <c r="I338" i="1"/>
  <c r="I354" i="1" s="1"/>
  <c r="I499" i="1" s="1"/>
  <c r="I488" i="1" s="1"/>
  <c r="H338" i="1"/>
  <c r="H354" i="1" s="1"/>
  <c r="H499" i="1" s="1"/>
  <c r="H488" i="1" s="1"/>
  <c r="K338" i="1"/>
  <c r="K354" i="1" s="1"/>
  <c r="K499" i="1" s="1"/>
  <c r="K488" i="1" s="1"/>
  <c r="J337" i="1"/>
  <c r="J353" i="1" s="1"/>
  <c r="K337" i="1"/>
  <c r="K353" i="1" s="1"/>
  <c r="J338" i="1"/>
  <c r="J354" i="1" s="1"/>
  <c r="J499" i="1" s="1"/>
  <c r="J488" i="1" s="1"/>
  <c r="G337" i="1"/>
  <c r="G353" i="1" s="1"/>
  <c r="I337" i="1"/>
  <c r="I353" i="1" s="1"/>
  <c r="H337" i="1"/>
  <c r="H353" i="1" s="1"/>
  <c r="G338" i="1"/>
  <c r="G354" i="1" s="1"/>
  <c r="G499" i="1" s="1"/>
  <c r="G488" i="1" s="1"/>
  <c r="F356" i="1"/>
  <c r="I546" i="1"/>
  <c r="I501" i="1"/>
  <c r="I235" i="1"/>
  <c r="I234" i="1" s="1"/>
  <c r="I236" i="1"/>
  <c r="J235" i="1"/>
  <c r="J234" i="1" s="1"/>
  <c r="J236" i="1"/>
  <c r="G235" i="1"/>
  <c r="G234" i="1" s="1"/>
  <c r="G236" i="1"/>
  <c r="H235" i="1"/>
  <c r="H234" i="1" s="1"/>
  <c r="H236" i="1"/>
  <c r="K235" i="1"/>
  <c r="K234" i="1" s="1"/>
  <c r="K236" i="1"/>
  <c r="K190" i="1"/>
  <c r="K189" i="1" s="1"/>
  <c r="K192" i="1"/>
  <c r="F190" i="1"/>
  <c r="F189" i="1" s="1"/>
  <c r="F192" i="1"/>
  <c r="I190" i="1"/>
  <c r="I189" i="1" s="1"/>
  <c r="I192" i="1"/>
  <c r="J190" i="1"/>
  <c r="J189" i="1" s="1"/>
  <c r="J192" i="1"/>
  <c r="G190" i="1"/>
  <c r="G189" i="1" s="1"/>
  <c r="G192" i="1"/>
  <c r="H190" i="1"/>
  <c r="H189" i="1" s="1"/>
  <c r="H192" i="1"/>
  <c r="K790" i="1"/>
  <c r="K832" i="1" s="1"/>
  <c r="K865" i="1" s="1"/>
  <c r="J790" i="1"/>
  <c r="J832" i="1" s="1"/>
  <c r="J865" i="1" s="1"/>
  <c r="I790" i="1"/>
  <c r="I832" i="1" s="1"/>
  <c r="I865" i="1" s="1"/>
  <c r="H368" i="1"/>
  <c r="H790" i="1"/>
  <c r="H375" i="1"/>
  <c r="H370" i="1" s="1"/>
  <c r="G375" i="1"/>
  <c r="G370" i="1" s="1"/>
  <c r="F508" i="1"/>
  <c r="F507" i="1" s="1"/>
  <c r="G368" i="1"/>
  <c r="G790" i="1"/>
  <c r="G832" i="1" s="1"/>
  <c r="G865" i="1" s="1"/>
  <c r="G356" i="1"/>
  <c r="H356" i="1"/>
  <c r="G215" i="1"/>
  <c r="G574" i="1"/>
  <c r="J225" i="1"/>
  <c r="J577" i="1"/>
  <c r="K225" i="1"/>
  <c r="K577" i="1"/>
  <c r="G225" i="1"/>
  <c r="G577" i="1"/>
  <c r="F552" i="1"/>
  <c r="J215" i="1"/>
  <c r="J574" i="1"/>
  <c r="H225" i="1"/>
  <c r="H577" i="1"/>
  <c r="K215" i="1"/>
  <c r="K574" i="1"/>
  <c r="F225" i="1"/>
  <c r="F577" i="1"/>
  <c r="I215" i="1"/>
  <c r="I574" i="1"/>
  <c r="I225" i="1"/>
  <c r="I577" i="1"/>
  <c r="H215" i="1"/>
  <c r="H574" i="1"/>
  <c r="H546" i="1"/>
  <c r="H508" i="1"/>
  <c r="H507" i="1" s="1"/>
  <c r="J546" i="1"/>
  <c r="F539" i="1"/>
  <c r="G501" i="1"/>
  <c r="G546" i="1"/>
  <c r="J501" i="1"/>
  <c r="I508" i="1"/>
  <c r="I507" i="1" s="1"/>
  <c r="G468" i="1"/>
  <c r="K508" i="1"/>
  <c r="K507" i="1" s="1"/>
  <c r="G231" i="1"/>
  <c r="K546" i="1"/>
  <c r="I532" i="1"/>
  <c r="J61" i="1"/>
  <c r="G61" i="1"/>
  <c r="K468" i="1"/>
  <c r="G532" i="1"/>
  <c r="H468" i="1"/>
  <c r="I61" i="1"/>
  <c r="J532" i="1"/>
  <c r="K61" i="1"/>
  <c r="F533" i="1"/>
  <c r="H530" i="1"/>
  <c r="F416" i="1"/>
  <c r="J416" i="1"/>
  <c r="J409" i="1" s="1"/>
  <c r="J408" i="1" s="1"/>
  <c r="I416" i="1"/>
  <c r="I409" i="1" s="1"/>
  <c r="I408" i="1" s="1"/>
  <c r="K231" i="1"/>
  <c r="H61" i="1"/>
  <c r="J231" i="1"/>
  <c r="F303" i="1"/>
  <c r="H303" i="1"/>
  <c r="H296" i="1"/>
  <c r="I303" i="1"/>
  <c r="I296" i="1"/>
  <c r="G303" i="1"/>
  <c r="G296" i="1"/>
  <c r="I231" i="1"/>
  <c r="K303" i="1"/>
  <c r="K296" i="1"/>
  <c r="F415" i="1"/>
  <c r="F302" i="1"/>
  <c r="F296" i="1"/>
  <c r="H231" i="1"/>
  <c r="J303" i="1"/>
  <c r="J296" i="1"/>
  <c r="K328" i="1"/>
  <c r="K344" i="1" s="1"/>
  <c r="K530" i="1"/>
  <c r="G328" i="1"/>
  <c r="G344" i="1" s="1"/>
  <c r="G530" i="1"/>
  <c r="H308" i="1"/>
  <c r="G308" i="1"/>
  <c r="J308" i="1"/>
  <c r="I308" i="1"/>
  <c r="I328" i="1"/>
  <c r="I344" i="1" s="1"/>
  <c r="K308" i="1"/>
  <c r="H328" i="1"/>
  <c r="H344" i="1" s="1"/>
  <c r="J328" i="1"/>
  <c r="J344" i="1" s="1"/>
  <c r="J250" i="1"/>
  <c r="J249" i="1" s="1"/>
  <c r="J260" i="1"/>
  <c r="I250" i="1"/>
  <c r="I249" i="1" s="1"/>
  <c r="I260" i="1"/>
  <c r="K250" i="1"/>
  <c r="K249" i="1" s="1"/>
  <c r="K260" i="1"/>
  <c r="F110" i="1"/>
  <c r="F269" i="1"/>
  <c r="F258" i="1" s="1"/>
  <c r="G250" i="1"/>
  <c r="G249" i="1" s="1"/>
  <c r="G260" i="1"/>
  <c r="F109" i="1"/>
  <c r="F268" i="1"/>
  <c r="F257" i="1" s="1"/>
  <c r="H250" i="1"/>
  <c r="H249" i="1" s="1"/>
  <c r="H260" i="1"/>
  <c r="J102" i="1"/>
  <c r="J330" i="1" s="1"/>
  <c r="J346" i="1" s="1"/>
  <c r="J491" i="1" s="1"/>
  <c r="F105" i="1"/>
  <c r="F333" i="1" s="1"/>
  <c r="F349" i="1" s="1"/>
  <c r="F494" i="1" s="1"/>
  <c r="F483" i="1" s="1"/>
  <c r="F264" i="1"/>
  <c r="F253" i="1" s="1"/>
  <c r="J212" i="1"/>
  <c r="J211" i="1" s="1"/>
  <c r="J209" i="1"/>
  <c r="F212" i="1"/>
  <c r="F211" i="1" s="1"/>
  <c r="F209" i="1"/>
  <c r="I212" i="1"/>
  <c r="I211" i="1" s="1"/>
  <c r="I209" i="1"/>
  <c r="K212" i="1"/>
  <c r="K211" i="1" s="1"/>
  <c r="K209" i="1"/>
  <c r="G212" i="1"/>
  <c r="G211" i="1" s="1"/>
  <c r="G209" i="1"/>
  <c r="F100" i="1"/>
  <c r="F328" i="1" s="1"/>
  <c r="F344" i="1" s="1"/>
  <c r="G102" i="1"/>
  <c r="G330" i="1" s="1"/>
  <c r="G346" i="1" s="1"/>
  <c r="G491" i="1" s="1"/>
  <c r="H102" i="1"/>
  <c r="H330" i="1" s="1"/>
  <c r="H346" i="1" s="1"/>
  <c r="H491" i="1" s="1"/>
  <c r="H103" i="1"/>
  <c r="H331" i="1" s="1"/>
  <c r="H347" i="1" s="1"/>
  <c r="H492" i="1" s="1"/>
  <c r="H481" i="1" s="1"/>
  <c r="F235" i="1"/>
  <c r="F234" i="1" s="1"/>
  <c r="K102" i="1"/>
  <c r="K330" i="1" s="1"/>
  <c r="K346" i="1" s="1"/>
  <c r="K491" i="1" s="1"/>
  <c r="J103" i="1"/>
  <c r="J331" i="1" s="1"/>
  <c r="J347" i="1" s="1"/>
  <c r="J492" i="1" s="1"/>
  <c r="J481" i="1" s="1"/>
  <c r="G103" i="1"/>
  <c r="G331" i="1" s="1"/>
  <c r="G347" i="1" s="1"/>
  <c r="G492" i="1" s="1"/>
  <c r="G481" i="1" s="1"/>
  <c r="I112" i="1"/>
  <c r="I96" i="1" s="1"/>
  <c r="I102" i="1"/>
  <c r="I330" i="1" s="1"/>
  <c r="I346" i="1" s="1"/>
  <c r="I491" i="1" s="1"/>
  <c r="K112" i="1"/>
  <c r="K96" i="1" s="1"/>
  <c r="I103" i="1"/>
  <c r="I331" i="1" s="1"/>
  <c r="I347" i="1" s="1"/>
  <c r="I492" i="1" s="1"/>
  <c r="I481" i="1" s="1"/>
  <c r="G112" i="1"/>
  <c r="G96" i="1" s="1"/>
  <c r="F262" i="1"/>
  <c r="F251" i="1" s="1"/>
  <c r="J112" i="1"/>
  <c r="J96" i="1" s="1"/>
  <c r="H112" i="1"/>
  <c r="H96" i="1" s="1"/>
  <c r="K103" i="1"/>
  <c r="K331" i="1" s="1"/>
  <c r="K347" i="1" s="1"/>
  <c r="K492" i="1" s="1"/>
  <c r="K481" i="1" s="1"/>
  <c r="F80" i="1"/>
  <c r="F61" i="1" s="1"/>
  <c r="F337" i="1" l="1"/>
  <c r="F353" i="1" s="1"/>
  <c r="F338" i="1"/>
  <c r="F354" i="1" s="1"/>
  <c r="F499" i="1" s="1"/>
  <c r="F488" i="1" s="1"/>
  <c r="K836" i="1"/>
  <c r="K869" i="1" s="1"/>
  <c r="F413" i="1"/>
  <c r="F412" i="1" s="1"/>
  <c r="F414" i="1"/>
  <c r="I836" i="1"/>
  <c r="I869" i="1" s="1"/>
  <c r="J836" i="1"/>
  <c r="J869" i="1" s="1"/>
  <c r="I874" i="1"/>
  <c r="I840" i="1"/>
  <c r="I873" i="1" s="1"/>
  <c r="I837" i="1"/>
  <c r="I870" i="1" s="1"/>
  <c r="I834" i="1"/>
  <c r="I867" i="1" s="1"/>
  <c r="I839" i="1"/>
  <c r="I872" i="1" s="1"/>
  <c r="I838" i="1"/>
  <c r="I871" i="1" s="1"/>
  <c r="I835" i="1"/>
  <c r="I868" i="1" s="1"/>
  <c r="I833" i="1"/>
  <c r="I866" i="1" s="1"/>
  <c r="H208" i="1"/>
  <c r="H180" i="1" s="1"/>
  <c r="H179" i="1" s="1"/>
  <c r="H874" i="1"/>
  <c r="H840" i="1"/>
  <c r="H873" i="1" s="1"/>
  <c r="H839" i="1"/>
  <c r="H872" i="1" s="1"/>
  <c r="H838" i="1"/>
  <c r="H871" i="1" s="1"/>
  <c r="H837" i="1"/>
  <c r="H870" i="1" s="1"/>
  <c r="H834" i="1"/>
  <c r="H867" i="1" s="1"/>
  <c r="H835" i="1"/>
  <c r="H868" i="1" s="1"/>
  <c r="H833" i="1"/>
  <c r="H866" i="1" s="1"/>
  <c r="J874" i="1"/>
  <c r="J840" i="1"/>
  <c r="J873" i="1" s="1"/>
  <c r="J837" i="1"/>
  <c r="J870" i="1" s="1"/>
  <c r="J839" i="1"/>
  <c r="J872" i="1" s="1"/>
  <c r="J838" i="1"/>
  <c r="J871" i="1" s="1"/>
  <c r="J834" i="1"/>
  <c r="J867" i="1" s="1"/>
  <c r="J835" i="1"/>
  <c r="J868" i="1" s="1"/>
  <c r="J833" i="1"/>
  <c r="J866" i="1" s="1"/>
  <c r="F546" i="1"/>
  <c r="H836" i="1"/>
  <c r="H869" i="1" s="1"/>
  <c r="H832" i="1"/>
  <c r="H865" i="1" s="1"/>
  <c r="F501" i="1"/>
  <c r="G874" i="1"/>
  <c r="G840" i="1"/>
  <c r="G873" i="1" s="1"/>
  <c r="G834" i="1"/>
  <c r="G867" i="1" s="1"/>
  <c r="G838" i="1"/>
  <c r="G871" i="1" s="1"/>
  <c r="G837" i="1"/>
  <c r="G870" i="1" s="1"/>
  <c r="G839" i="1"/>
  <c r="G872" i="1" s="1"/>
  <c r="G835" i="1"/>
  <c r="G868" i="1" s="1"/>
  <c r="G833" i="1"/>
  <c r="G866" i="1" s="1"/>
  <c r="K874" i="1"/>
  <c r="K840" i="1"/>
  <c r="K873" i="1" s="1"/>
  <c r="K834" i="1"/>
  <c r="K867" i="1" s="1"/>
  <c r="K839" i="1"/>
  <c r="K872" i="1" s="1"/>
  <c r="K838" i="1"/>
  <c r="K871" i="1" s="1"/>
  <c r="K837" i="1"/>
  <c r="K870" i="1" s="1"/>
  <c r="K835" i="1"/>
  <c r="K868" i="1" s="1"/>
  <c r="K833" i="1"/>
  <c r="K866" i="1" s="1"/>
  <c r="G836" i="1"/>
  <c r="G869" i="1" s="1"/>
  <c r="G208" i="1"/>
  <c r="G180" i="1" s="1"/>
  <c r="G179" i="1" s="1"/>
  <c r="K208" i="1"/>
  <c r="K180" i="1" s="1"/>
  <c r="K179" i="1" s="1"/>
  <c r="J208" i="1"/>
  <c r="J180" i="1" s="1"/>
  <c r="J179" i="1" s="1"/>
  <c r="F208" i="1"/>
  <c r="F180" i="1" s="1"/>
  <c r="I208" i="1"/>
  <c r="I180" i="1" s="1"/>
  <c r="I179" i="1" s="1"/>
  <c r="J530" i="1"/>
  <c r="I530" i="1"/>
  <c r="F423" i="1"/>
  <c r="I423" i="1"/>
  <c r="H416" i="1"/>
  <c r="H409" i="1" s="1"/>
  <c r="H408" i="1" s="1"/>
  <c r="F530" i="1"/>
  <c r="I462" i="1"/>
  <c r="I461" i="1" s="1"/>
  <c r="I407" i="1" s="1"/>
  <c r="I526" i="1"/>
  <c r="K462" i="1"/>
  <c r="K461" i="1" s="1"/>
  <c r="K526" i="1"/>
  <c r="G462" i="1"/>
  <c r="G461" i="1" s="1"/>
  <c r="G526" i="1"/>
  <c r="J462" i="1"/>
  <c r="J461" i="1" s="1"/>
  <c r="J407" i="1" s="1"/>
  <c r="J526" i="1"/>
  <c r="H462" i="1"/>
  <c r="H461" i="1" s="1"/>
  <c r="H526" i="1"/>
  <c r="F462" i="1"/>
  <c r="F526" i="1"/>
  <c r="F525" i="1"/>
  <c r="K300" i="1"/>
  <c r="K289" i="1" s="1"/>
  <c r="G300" i="1"/>
  <c r="G289" i="1" s="1"/>
  <c r="I300" i="1"/>
  <c r="I289" i="1" s="1"/>
  <c r="H300" i="1"/>
  <c r="H289" i="1" s="1"/>
  <c r="J300" i="1"/>
  <c r="J289" i="1" s="1"/>
  <c r="F300" i="1"/>
  <c r="K480" i="1"/>
  <c r="K479" i="1" s="1"/>
  <c r="K490" i="1"/>
  <c r="G480" i="1"/>
  <c r="G479" i="1" s="1"/>
  <c r="G490" i="1"/>
  <c r="H480" i="1"/>
  <c r="H479" i="1" s="1"/>
  <c r="H490" i="1"/>
  <c r="I480" i="1"/>
  <c r="I479" i="1" s="1"/>
  <c r="I490" i="1"/>
  <c r="J480" i="1"/>
  <c r="J479" i="1" s="1"/>
  <c r="J490" i="1"/>
  <c r="G423" i="1"/>
  <c r="J467" i="1"/>
  <c r="G467" i="1"/>
  <c r="H467" i="1"/>
  <c r="K467" i="1"/>
  <c r="I467" i="1"/>
  <c r="F410" i="1"/>
  <c r="F409" i="1" s="1"/>
  <c r="F408" i="1" s="1"/>
  <c r="F467" i="1"/>
  <c r="K423" i="1"/>
  <c r="J340" i="1"/>
  <c r="J324" i="1" s="1"/>
  <c r="J423" i="1"/>
  <c r="K416" i="1"/>
  <c r="K409" i="1" s="1"/>
  <c r="K408" i="1" s="1"/>
  <c r="H340" i="1"/>
  <c r="H324" i="1" s="1"/>
  <c r="H423" i="1"/>
  <c r="G416" i="1"/>
  <c r="G409" i="1" s="1"/>
  <c r="G408" i="1" s="1"/>
  <c r="F395" i="1"/>
  <c r="K340" i="1"/>
  <c r="K324" i="1" s="1"/>
  <c r="I340" i="1"/>
  <c r="I324" i="1" s="1"/>
  <c r="G340" i="1"/>
  <c r="G324" i="1" s="1"/>
  <c r="F102" i="1"/>
  <c r="F112" i="1"/>
  <c r="F96" i="1" s="1"/>
  <c r="F103" i="1"/>
  <c r="F331" i="1" s="1"/>
  <c r="F347" i="1" s="1"/>
  <c r="F492" i="1" s="1"/>
  <c r="F481" i="1" s="1"/>
  <c r="F9" i="4" l="1"/>
  <c r="F8" i="4" s="1"/>
  <c r="G9" i="4"/>
  <c r="G8" i="4" s="1"/>
  <c r="I465" i="1"/>
  <c r="I464" i="1" s="1"/>
  <c r="I466" i="1"/>
  <c r="F465" i="1"/>
  <c r="F464" i="1" s="1"/>
  <c r="F466" i="1"/>
  <c r="K465" i="1"/>
  <c r="K464" i="1" s="1"/>
  <c r="K466" i="1"/>
  <c r="G465" i="1"/>
  <c r="G464" i="1" s="1"/>
  <c r="G466" i="1"/>
  <c r="H465" i="1"/>
  <c r="H464" i="1" s="1"/>
  <c r="H466" i="1"/>
  <c r="J465" i="1"/>
  <c r="J464" i="1" s="1"/>
  <c r="J466" i="1"/>
  <c r="J420" i="1"/>
  <c r="J419" i="1" s="1"/>
  <c r="J422" i="1"/>
  <c r="K420" i="1"/>
  <c r="K419" i="1" s="1"/>
  <c r="K422" i="1"/>
  <c r="H420" i="1"/>
  <c r="H419" i="1" s="1"/>
  <c r="H422" i="1"/>
  <c r="I420" i="1"/>
  <c r="I419" i="1" s="1"/>
  <c r="I422" i="1"/>
  <c r="F420" i="1"/>
  <c r="F419" i="1" s="1"/>
  <c r="F422" i="1"/>
  <c r="G420" i="1"/>
  <c r="G419" i="1" s="1"/>
  <c r="G422" i="1"/>
  <c r="H407" i="1"/>
  <c r="E9" i="4" s="1"/>
  <c r="E8" i="4" s="1"/>
  <c r="G407" i="1"/>
  <c r="D9" i="4" s="1"/>
  <c r="D8" i="4" s="1"/>
  <c r="K407" i="1"/>
  <c r="H9" i="4" s="1"/>
  <c r="H8" i="4" s="1"/>
  <c r="J2" i="1"/>
  <c r="G14" i="4" l="1"/>
  <c r="G13" i="4"/>
  <c r="H2" i="1"/>
  <c r="K2" i="1"/>
  <c r="I2" i="1"/>
  <c r="G2" i="1"/>
  <c r="F2" i="1"/>
  <c r="F1202" i="1"/>
  <c r="F14" i="4" l="1"/>
  <c r="F13" i="4"/>
  <c r="C14" i="4"/>
  <c r="C13" i="4"/>
  <c r="H14" i="4"/>
  <c r="H13" i="4"/>
  <c r="D13" i="4"/>
  <c r="D14" i="4"/>
  <c r="E14" i="4"/>
  <c r="E13" i="4"/>
  <c r="F238" i="1"/>
  <c r="F231" i="1" s="1"/>
  <c r="F179" i="1" s="1"/>
  <c r="F261" i="1"/>
  <c r="F260" i="1" s="1"/>
  <c r="F792" i="1"/>
  <c r="F790" i="1" s="1"/>
  <c r="F250" i="1" l="1"/>
  <c r="F249" i="1" s="1"/>
  <c r="F835" i="1"/>
  <c r="F868" i="1" s="1"/>
  <c r="F832" i="1"/>
  <c r="F865" i="1" s="1"/>
  <c r="F833" i="1"/>
  <c r="F866" i="1" s="1"/>
  <c r="F838" i="1"/>
  <c r="F871" i="1" s="1"/>
  <c r="F840" i="1"/>
  <c r="F873" i="1" s="1"/>
  <c r="F837" i="1"/>
  <c r="F870" i="1" s="1"/>
  <c r="F834" i="1"/>
  <c r="F867" i="1" s="1"/>
  <c r="F839" i="1"/>
  <c r="F872" i="1" s="1"/>
  <c r="F836" i="1"/>
  <c r="F869" i="1" s="1"/>
  <c r="F532" i="1"/>
  <c r="F308" i="1"/>
  <c r="F330" i="1"/>
  <c r="F346" i="1" s="1"/>
  <c r="F289" i="1" l="1"/>
  <c r="F340" i="1"/>
  <c r="F324" i="1" s="1"/>
  <c r="F491" i="1"/>
  <c r="F490" i="1" s="1"/>
  <c r="F468" i="1"/>
  <c r="F461" i="1" s="1"/>
  <c r="F407" i="1" s="1"/>
  <c r="F480" i="1" l="1"/>
  <c r="F479" i="1" s="1"/>
  <c r="C9" i="4"/>
  <c r="C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<sst xmlns="http://schemas.openxmlformats.org/spreadsheetml/2006/main" count="4691" uniqueCount="2478">
  <si>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</si>
  <si>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</si>
  <si>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</si>
  <si>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</si>
  <si>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</si>
  <si>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</si>
  <si>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</si>
  <si>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</si>
  <si>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</si>
  <si>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</si>
  <si>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</si>
  <si>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</si>
  <si>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</si>
  <si>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</si>
  <si>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</si>
  <si>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</si>
  <si>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</si>
  <si>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</si>
  <si>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</si>
  <si>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</si>
  <si>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</si>
  <si>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</si>
  <si>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</si>
  <si>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</si>
  <si>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</si>
  <si>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</si>
  <si>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</si>
  <si>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</si>
  <si>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</si>
  <si>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</si>
  <si>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</si>
  <si>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</si>
  <si>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</si>
  <si>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</si>
  <si>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</si>
  <si>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</si>
  <si>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</si>
  <si>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</si>
  <si>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</si>
  <si>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</si>
  <si>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</si>
  <si>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</si>
  <si>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</si>
  <si>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</si>
  <si>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</si>
  <si>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</si>
  <si>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</si>
  <si>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</si>
  <si>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</si>
  <si>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</si>
  <si>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</si>
  <si>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</si>
  <si>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</si>
  <si>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</si>
  <si>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</si>
  <si>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</si>
  <si>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</si>
  <si>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</si>
  <si>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</si>
  <si>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</si>
  <si>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</si>
  <si>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</si>
  <si>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</si>
  <si>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</si>
  <si>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</si>
  <si>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</si>
  <si>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</si>
  <si>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</si>
  <si>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</si>
  <si>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</si>
  <si>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</si>
  <si>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</si>
  <si>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</si>
  <si>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</si>
  <si>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</si>
  <si>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</si>
  <si>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</si>
  <si>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</si>
  <si>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</si>
  <si>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</si>
  <si>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</si>
  <si>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</si>
  <si>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</si>
  <si>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</si>
  <si>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</si>
  <si>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</si>
  <si>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</si>
  <si>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</si>
  <si>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</si>
  <si>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</si>
  <si>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</si>
  <si>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</si>
  <si>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</si>
  <si>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</si>
  <si>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</si>
  <si>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</si>
  <si>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</si>
  <si>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</si>
  <si>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</si>
  <si>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</si>
  <si>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</si>
  <si>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</si>
  <si>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</si>
  <si>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</si>
  <si>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</si>
  <si>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</si>
  <si>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</si>
  <si>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</si>
  <si>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</si>
  <si>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</si>
  <si>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</si>
  <si>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</si>
  <si>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</si>
  <si>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</si>
  <si>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</si>
  <si>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</si>
  <si>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</si>
  <si>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</si>
  <si>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</si>
  <si>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</si>
  <si>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</si>
  <si>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</si>
  <si>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</si>
  <si>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</si>
  <si>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</si>
  <si>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</si>
  <si>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</si>
  <si>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</si>
  <si>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</si>
  <si>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</si>
  <si>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</si>
  <si>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</si>
  <si>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</si>
  <si>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</si>
  <si>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</si>
  <si>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</si>
  <si>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</si>
  <si>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</si>
  <si>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</si>
  <si>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</si>
  <si>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</si>
  <si>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</si>
  <si>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</si>
  <si>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</si>
  <si>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</si>
  <si>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</si>
  <si>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</si>
  <si>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</si>
  <si>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</si>
  <si>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</si>
  <si>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</si>
  <si>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</si>
  <si>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</si>
  <si>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</si>
  <si>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</si>
  <si>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</si>
  <si>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</si>
  <si>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</si>
  <si>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</si>
  <si>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</si>
  <si>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</si>
  <si>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</si>
  <si>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</si>
  <si>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</si>
  <si>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</si>
  <si>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</si>
  <si>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</si>
  <si>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</si>
  <si>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</si>
  <si>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</si>
  <si>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</si>
  <si>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</si>
  <si>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</si>
  <si>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</si>
  <si>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</si>
  <si>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</si>
  <si>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</si>
  <si>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</si>
  <si>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</si>
  <si>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</si>
  <si>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</si>
  <si>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</si>
  <si>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</si>
  <si>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</si>
  <si>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</si>
  <si>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</si>
  <si>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</si>
  <si>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</si>
  <si>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</si>
  <si>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</si>
  <si>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</si>
  <si>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</si>
  <si>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</si>
  <si>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</si>
  <si>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</si>
  <si>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</si>
  <si>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</si>
  <si>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</si>
  <si>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</si>
  <si>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</si>
  <si>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</si>
  <si>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</si>
  <si>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</si>
  <si>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</si>
  <si>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</si>
  <si>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</si>
  <si>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</si>
  <si>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</si>
  <si>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</si>
  <si>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</si>
  <si>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</si>
  <si>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</si>
  <si>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</si>
  <si>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</si>
  <si>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</si>
  <si>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</si>
  <si>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</si>
  <si>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</si>
  <si>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</si>
  <si>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</si>
  <si>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</si>
  <si>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</si>
  <si>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</si>
  <si>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</si>
  <si>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</si>
  <si>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</si>
  <si>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</si>
  <si>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</si>
  <si>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</si>
  <si>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</si>
  <si>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</si>
  <si>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</si>
  <si>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</si>
  <si>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</si>
  <si>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</si>
  <si>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</si>
  <si>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</si>
  <si>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</si>
  <si>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</si>
  <si>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</si>
  <si>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</si>
  <si>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</si>
  <si>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</si>
  <si>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</si>
  <si>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</si>
  <si>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</si>
  <si>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</si>
  <si>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</si>
  <si>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</si>
  <si>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</si>
  <si>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</si>
  <si>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</si>
  <si>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</si>
  <si>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</si>
  <si>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</si>
  <si>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</si>
  <si>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</si>
  <si>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</si>
  <si>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</si>
  <si>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</si>
  <si>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</si>
  <si>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</si>
  <si>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</si>
  <si>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</si>
  <si>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</si>
  <si>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</si>
  <si>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</si>
  <si>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</si>
  <si>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</si>
  <si>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</si>
  <si>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</si>
  <si>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</si>
  <si>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</si>
  <si>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</si>
  <si>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</si>
  <si>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</si>
  <si>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</si>
  <si>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</si>
  <si>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</si>
  <si>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</si>
  <si>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</si>
  <si>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</si>
  <si>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</si>
  <si>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</si>
  <si>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</si>
  <si>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</si>
  <si>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</si>
  <si>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</si>
  <si>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</si>
  <si>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</si>
  <si>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</si>
  <si>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</si>
  <si>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</si>
  <si>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</si>
  <si>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</si>
  <si>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</si>
  <si>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</si>
  <si>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</si>
  <si>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</si>
  <si>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</si>
  <si>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</si>
  <si>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</si>
  <si>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</si>
  <si>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</si>
  <si>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</si>
  <si>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</si>
  <si>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</si>
  <si>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</si>
  <si>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</si>
  <si>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</si>
  <si>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</si>
  <si>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</si>
  <si>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</si>
  <si>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</si>
  <si>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</si>
  <si>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</si>
  <si>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</si>
  <si>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</si>
  <si>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</si>
  <si>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</si>
  <si>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</si>
  <si>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</si>
  <si>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</si>
  <si>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</si>
  <si>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</si>
  <si>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</si>
  <si>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</si>
  <si>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</si>
  <si>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</si>
  <si>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</si>
  <si>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</si>
  <si>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</si>
  <si>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</si>
  <si>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</si>
  <si>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</si>
  <si>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</si>
  <si>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</si>
  <si>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</si>
  <si>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</si>
  <si>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</si>
  <si>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</si>
  <si>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</si>
  <si>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</si>
  <si>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</si>
  <si>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</si>
  <si>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</si>
  <si>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</si>
  <si>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</si>
  <si>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</si>
  <si>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</si>
  <si>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</si>
  <si>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</si>
  <si>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</si>
  <si>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</si>
  <si>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</si>
  <si>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</si>
  <si>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</si>
  <si>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</si>
  <si>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</si>
  <si>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</si>
  <si>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</si>
  <si>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</si>
  <si>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</si>
  <si>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</si>
  <si>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</si>
  <si>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</si>
  <si>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</si>
  <si>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</si>
  <si>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</si>
  <si>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</si>
  <si>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</si>
  <si>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</si>
  <si>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</si>
  <si>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</si>
  <si>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</si>
  <si>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</si>
  <si>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</si>
  <si>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</si>
  <si>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</si>
  <si>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</si>
  <si>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</si>
  <si>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</si>
  <si>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</si>
  <si>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</si>
  <si>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</si>
  <si>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</si>
  <si>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</si>
  <si>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</si>
  <si>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</si>
  <si>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</si>
  <si>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</si>
  <si>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</si>
  <si>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</si>
  <si>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</si>
  <si>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</si>
  <si>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</si>
  <si>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</si>
  <si>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</si>
  <si>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</si>
  <si>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</si>
  <si>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</si>
  <si>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</si>
  <si>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</si>
  <si>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</si>
  <si>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</si>
  <si>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</si>
  <si>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</si>
  <si>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</si>
  <si>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</si>
  <si>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</si>
  <si>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</si>
  <si>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</si>
  <si>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</si>
  <si>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</si>
  <si>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</si>
  <si>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</si>
  <si>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</si>
  <si>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</si>
  <si>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</si>
  <si>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</si>
  <si>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</si>
  <si>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</si>
  <si>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</si>
  <si>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</si>
  <si>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</si>
  <si>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</si>
  <si>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</si>
  <si>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</si>
  <si>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</si>
  <si>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</si>
  <si>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</si>
  <si>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</si>
  <si>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</si>
  <si>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</si>
  <si>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</si>
  <si>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</si>
  <si>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</si>
  <si>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</si>
  <si>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</si>
  <si>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</si>
  <si>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</si>
  <si>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</si>
  <si>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</si>
  <si>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</si>
  <si>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</si>
  <si>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</si>
  <si>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</si>
  <si>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</si>
  <si>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</si>
  <si>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</si>
  <si>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</si>
  <si>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</si>
  <si>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</si>
  <si>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</si>
  <si>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</si>
  <si>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</si>
  <si>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</si>
  <si>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</si>
  <si>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</si>
  <si>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</si>
  <si>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</si>
  <si>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</si>
  <si>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</si>
  <si>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</si>
  <si>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</si>
  <si>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</si>
  <si>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</si>
  <si>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</si>
  <si>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</si>
  <si>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</si>
  <si>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</si>
  <si>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</si>
  <si>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</si>
  <si>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</si>
  <si>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</si>
  <si>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</si>
  <si>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</si>
  <si>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</si>
  <si>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</si>
  <si>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</si>
  <si>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</si>
  <si>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</si>
  <si>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</si>
  <si>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</si>
  <si>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</si>
  <si>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</si>
  <si>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</si>
  <si>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</si>
  <si>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</si>
  <si>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</si>
  <si>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</si>
  <si>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</si>
  <si>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</si>
  <si>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</si>
  <si>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</si>
  <si>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</si>
  <si>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</si>
  <si>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</si>
  <si>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</si>
  <si>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</si>
  <si>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</si>
  <si>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</si>
  <si>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</si>
  <si>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</si>
  <si>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</si>
  <si>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</si>
  <si>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</si>
  <si>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</si>
  <si>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</si>
  <si>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</si>
  <si>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</si>
  <si>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</si>
  <si>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</si>
  <si>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</si>
  <si>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</si>
  <si>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</si>
  <si>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</si>
  <si>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</si>
  <si>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</si>
  <si>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</si>
  <si>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</si>
  <si>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</si>
  <si>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</si>
  <si>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</si>
  <si>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</si>
  <si>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</si>
  <si>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</si>
  <si>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</si>
  <si>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</si>
  <si>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</si>
  <si>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</si>
  <si>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</si>
  <si>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</si>
  <si>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</si>
  <si>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</si>
  <si>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</si>
  <si>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</si>
  <si>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</si>
  <si>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</si>
  <si>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</si>
  <si>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</si>
  <si>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</si>
  <si>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</si>
  <si>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</si>
  <si>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</si>
  <si>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</si>
  <si>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</si>
  <si>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</si>
  <si>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</si>
  <si>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</si>
  <si>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</si>
  <si>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</si>
  <si>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</si>
  <si>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</si>
  <si>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</si>
  <si>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</si>
  <si>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</si>
  <si>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</si>
  <si>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</si>
  <si>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</si>
  <si>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</si>
  <si>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</si>
  <si>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</si>
  <si>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</si>
  <si>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</si>
  <si>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</si>
  <si>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</si>
  <si>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</si>
  <si>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</si>
  <si>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</si>
  <si>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</si>
  <si>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</si>
  <si>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</si>
  <si>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</si>
  <si>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</si>
  <si>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</si>
  <si>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</si>
  <si>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</si>
  <si>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</si>
  <si>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</si>
  <si>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</si>
  <si>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</si>
  <si>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</si>
  <si>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</si>
  <si>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</si>
  <si>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</si>
  <si>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</si>
  <si>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</si>
  <si>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</si>
  <si>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</si>
  <si>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</si>
  <si>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</si>
  <si>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</si>
  <si>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</si>
  <si>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</si>
  <si>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</si>
  <si>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</si>
  <si>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</si>
  <si>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</si>
  <si>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</si>
  <si>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</si>
  <si>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</si>
  <si>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</si>
  <si>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</si>
  <si>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</si>
  <si>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</si>
  <si>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</si>
  <si>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</si>
  <si>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</si>
  <si>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</si>
  <si>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</si>
  <si>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</si>
  <si>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</si>
  <si>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</si>
  <si>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</si>
  <si>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</si>
  <si>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</si>
  <si>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</si>
  <si>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</si>
  <si>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</si>
  <si>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</si>
  <si>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</si>
  <si>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</si>
  <si>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</si>
  <si>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</si>
  <si>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</si>
  <si>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</si>
  <si>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</si>
  <si>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</si>
  <si>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</si>
  <si>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</si>
  <si>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</si>
  <si>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</si>
  <si>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</si>
  <si>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</si>
  <si>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</si>
  <si>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</si>
  <si>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</si>
  <si>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</si>
  <si>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</si>
  <si>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</si>
  <si>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</si>
  <si>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</si>
  <si>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</si>
  <si>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</si>
  <si>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</si>
  <si>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</si>
  <si>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</si>
  <si>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</si>
  <si>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</si>
  <si>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</si>
  <si>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</si>
  <si>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</si>
  <si>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</si>
  <si>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</si>
  <si>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</si>
  <si>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</si>
  <si>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</si>
  <si>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</si>
  <si>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</si>
  <si>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</si>
  <si>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</si>
  <si>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</si>
  <si>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</si>
  <si>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</si>
  <si>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</si>
  <si>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</si>
  <si>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</si>
  <si>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</si>
  <si>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</si>
  <si>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</si>
  <si>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</si>
  <si>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</si>
  <si>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</si>
  <si>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</si>
  <si>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</si>
  <si>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</si>
  <si>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</si>
  <si>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</si>
  <si>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</si>
  <si>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</si>
  <si>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</si>
  <si>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</si>
  <si>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</si>
  <si>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</si>
  <si>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</si>
  <si>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</si>
  <si>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</si>
  <si>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</si>
  <si>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</si>
  <si>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</si>
  <si>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</si>
  <si>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</si>
  <si>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</si>
  <si>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</si>
  <si>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</si>
  <si>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</si>
  <si>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</si>
  <si>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</si>
  <si>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</si>
  <si>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</si>
  <si>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</si>
  <si>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</si>
  <si>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</si>
  <si>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</si>
  <si>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</si>
  <si>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</si>
  <si>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</si>
  <si>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</si>
  <si>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</si>
  <si>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</si>
  <si>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</si>
  <si>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</si>
  <si>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</si>
  <si>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</si>
  <si>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</si>
  <si>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</si>
  <si>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</si>
  <si>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</si>
  <si>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</si>
  <si>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</si>
  <si>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</si>
  <si>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</si>
  <si>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</si>
  <si>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</si>
  <si>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</si>
  <si>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</si>
  <si>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</si>
  <si>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</si>
  <si>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</si>
  <si>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</si>
  <si>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</si>
  <si>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</si>
  <si>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</si>
  <si>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</si>
  <si>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</si>
  <si>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</si>
  <si>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</si>
  <si>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</si>
  <si>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</si>
  <si>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</si>
  <si>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</si>
  <si>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</si>
  <si>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</si>
  <si>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</si>
  <si>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</si>
  <si>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</si>
  <si>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</si>
  <si>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</si>
  <si>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</si>
  <si>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</si>
  <si>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</si>
  <si>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</si>
  <si>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</si>
  <si>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</si>
  <si>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</si>
  <si>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</si>
  <si>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</si>
  <si>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</si>
  <si>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</si>
  <si>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</si>
  <si>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</si>
  <si>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</si>
  <si>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</si>
  <si>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</si>
  <si>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</si>
  <si>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</si>
  <si>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</si>
  <si>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</si>
  <si>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</si>
  <si>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</si>
  <si>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</si>
  <si>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</si>
  <si>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</si>
  <si>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</si>
  <si>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</si>
  <si>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</si>
  <si>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</si>
  <si>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</si>
  <si>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</si>
  <si>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</si>
  <si>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</si>
  <si>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</si>
  <si>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Imports|Oil|Synthetic liquids|PtL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</si>
  <si>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</si>
  <si>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</si>
  <si>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</si>
  <si>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</si>
  <si>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</si>
  <si>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</si>
  <si>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</si>
  <si>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</si>
  <si>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</si>
  <si>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</si>
  <si>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</si>
  <si>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</si>
  <si>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</si>
  <si>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</si>
  <si>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</si>
  <si>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</si>
  <si>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</si>
  <si>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</si>
  <si>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</si>
  <si>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</si>
  <si>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</si>
  <si>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</si>
  <si>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</si>
  <si>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</si>
  <si>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</si>
  <si>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</si>
  <si>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</si>
  <si>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</si>
  <si>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</si>
  <si>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</si>
  <si>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</si>
  <si>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</si>
  <si>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</si>
  <si>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</si>
  <si>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</si>
  <si>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</si>
  <si>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</si>
  <si>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</si>
  <si>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</si>
  <si>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</si>
  <si>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</si>
  <si>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</si>
  <si>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</si>
  <si>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</si>
  <si>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</si>
  <si>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</si>
  <si>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</si>
  <si>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</si>
  <si>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</si>
  <si>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</si>
  <si>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</si>
  <si>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</si>
  <si>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</si>
  <si>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</si>
  <si>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</si>
  <si>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</si>
  <si>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</si>
  <si>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</si>
  <si>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</si>
  <si>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</si>
  <si>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</si>
  <si>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</si>
  <si>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</si>
  <si>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</si>
  <si>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</si>
  <si>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</si>
  <si>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</si>
  <si>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</si>
  <si>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</si>
  <si>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</si>
  <si>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</si>
  <si>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</si>
  <si>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</si>
  <si>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</si>
  <si>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</si>
  <si>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</si>
  <si>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</si>
  <si>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</si>
  <si>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</si>
  <si>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</si>
  <si>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</si>
  <si>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</si>
  <si>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</si>
  <si>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</si>
  <si>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</si>
  <si>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</si>
  <si>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</si>
  <si>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</si>
  <si>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</si>
  <si>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</si>
  <si>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</si>
  <si>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</si>
  <si>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</si>
  <si>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</si>
  <si>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</si>
  <si>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</si>
  <si>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</si>
  <si>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</si>
  <si>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</si>
  <si>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</si>
  <si>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</si>
  <si>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</si>
  <si>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</si>
  <si>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</si>
  <si>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</si>
  <si>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</si>
  <si>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</si>
  <si>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</si>
  <si>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</si>
  <si>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</si>
  <si>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</si>
  <si>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</si>
  <si>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</si>
  <si>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</si>
  <si>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</si>
  <si>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</si>
  <si>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</si>
  <si>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</si>
  <si>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</si>
  <si>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</si>
  <si>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</si>
  <si>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</si>
  <si>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</si>
  <si>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</si>
  <si>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</si>
  <si>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</si>
  <si>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</si>
  <si>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</si>
  <si>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</si>
  <si>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</si>
  <si>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</si>
  <si>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</si>
  <si>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</si>
  <si>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</si>
  <si>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</si>
  <si>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</si>
  <si>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</si>
  <si>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</si>
  <si>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</si>
  <si>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</si>
  <si>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</si>
  <si>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</si>
  <si>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</si>
  <si>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</si>
  <si>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</si>
  <si>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</si>
  <si>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</si>
  <si>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</si>
  <si>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</si>
  <si>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</si>
  <si>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</si>
  <si>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</si>
  <si>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</si>
  <si>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</si>
  <si>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</si>
  <si>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</si>
  <si>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</si>
  <si>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</si>
  <si>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</si>
  <si>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</si>
  <si>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</si>
  <si>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</si>
  <si>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</si>
  <si>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</si>
  <si>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</si>
  <si>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</si>
  <si>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</si>
  <si>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</si>
  <si>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</si>
  <si>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</si>
  <si>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</si>
  <si>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</si>
  <si>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</si>
  <si>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</si>
  <si>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</si>
  <si>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</si>
  <si>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</si>
  <si>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</si>
  <si>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</si>
  <si>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</si>
  <si>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</si>
  <si>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</si>
  <si>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</si>
  <si>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</si>
  <si>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</si>
  <si>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</si>
  <si>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</si>
  <si>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</si>
  <si>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</si>
  <si>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</si>
  <si>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</si>
  <si>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</si>
  <si>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</si>
  <si>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</si>
  <si>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</si>
  <si>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</si>
  <si>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</si>
  <si>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</si>
  <si>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</si>
  <si>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</si>
  <si>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</si>
  <si>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</si>
  <si>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</si>
  <si>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</si>
  <si>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</si>
  <si>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</si>
  <si>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</si>
  <si>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</si>
  <si>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</si>
  <si>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</si>
  <si>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</si>
  <si>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</si>
  <si>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</si>
  <si>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</si>
  <si>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</si>
  <si>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</si>
  <si>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</si>
  <si>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</si>
  <si>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</si>
  <si>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</si>
  <si>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</si>
  <si>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</si>
  <si>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</si>
  <si>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</si>
  <si>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</si>
  <si>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</si>
  <si>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</si>
  <si>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</si>
  <si>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</si>
  <si>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</si>
  <si>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</si>
  <si>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</si>
  <si>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</si>
  <si>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</si>
  <si>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</si>
  <si>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</si>
  <si>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</si>
  <si>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</si>
  <si>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</si>
  <si>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</si>
  <si>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</si>
  <si>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</si>
  <si>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</si>
  <si>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</si>
  <si>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</si>
  <si>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</si>
  <si>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</si>
  <si>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</si>
  <si>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</si>
  <si>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</si>
  <si>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</si>
  <si>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</si>
  <si>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</si>
  <si>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</si>
  <si>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</si>
  <si>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</si>
  <si>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</si>
  <si>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</si>
  <si>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</si>
  <si>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</si>
  <si>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</si>
  <si>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</si>
  <si>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</si>
  <si>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</si>
  <si>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</si>
  <si>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</si>
  <si>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</si>
  <si>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</si>
  <si>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</si>
  <si>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</si>
  <si>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</si>
  <si>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</si>
  <si>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</si>
  <si>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</si>
  <si>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</si>
  <si>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</si>
  <si>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</si>
  <si>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</si>
  <si>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</si>
  <si>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</si>
  <si>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</si>
  <si>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</si>
  <si>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</si>
  <si>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</si>
  <si>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</si>
  <si>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</si>
  <si>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</si>
  <si>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</si>
  <si>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</si>
  <si>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</si>
  <si>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</si>
  <si>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</si>
  <si>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</si>
  <si>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</si>
  <si>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</si>
  <si>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</si>
  <si>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</si>
  <si>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</si>
  <si>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</si>
  <si>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</si>
  <si>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</si>
  <si>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</si>
  <si>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</si>
  <si>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</si>
  <si>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</si>
  <si>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</si>
  <si>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</si>
  <si>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</si>
  <si>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</si>
  <si>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</si>
  <si>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</si>
  <si>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</si>
  <si>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</si>
  <si>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</si>
  <si>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</si>
  <si>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</si>
  <si>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</si>
  <si>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</si>
  <si>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</si>
  <si>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</si>
  <si>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</si>
  <si>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</si>
  <si>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</si>
  <si>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</si>
  <si>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</si>
  <si>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</si>
  <si>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</si>
  <si>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</si>
  <si>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</si>
  <si>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</si>
  <si>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</si>
  <si>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</si>
  <si>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</si>
  <si>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</si>
  <si>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</si>
  <si>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</si>
  <si>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</si>
  <si>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</si>
  <si>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</si>
  <si>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</si>
  <si>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</si>
  <si>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</si>
  <si>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</si>
  <si>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</si>
  <si>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</si>
  <si>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</si>
  <si>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</si>
  <si>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</si>
  <si>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</si>
  <si>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</si>
  <si>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</si>
  <si>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</si>
  <si>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</si>
  <si>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</si>
  <si>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</si>
  <si>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</si>
  <si>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</si>
  <si>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</si>
  <si>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</si>
  <si>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</si>
  <si>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</si>
  <si>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</si>
  <si>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</si>
  <si>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</si>
  <si>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</si>
  <si>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</si>
  <si>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</si>
  <si>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</si>
  <si>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</si>
  <si>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</si>
  <si>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</si>
  <si>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</si>
  <si>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</si>
  <si>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</si>
  <si>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</si>
  <si>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</si>
  <si>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</si>
  <si>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</si>
  <si>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</si>
  <si>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</si>
  <si>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</si>
  <si>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</si>
  <si>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</si>
  <si>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</si>
  <si>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</si>
  <si>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</si>
  <si>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</si>
  <si>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</si>
  <si>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</si>
  <si>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</si>
  <si>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</si>
  <si>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</si>
  <si>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</si>
  <si>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</si>
  <si>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</si>
  <si>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</si>
  <si>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</si>
  <si>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</si>
  <si>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</si>
  <si>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</si>
  <si>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</si>
  <si>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</si>
  <si>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</si>
  <si>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</si>
  <si>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</si>
  <si>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</si>
  <si>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</si>
  <si>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</si>
  <si>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</si>
  <si>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</si>
  <si>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</si>
  <si>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</si>
  <si>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</si>
  <si>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</si>
  <si>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</si>
  <si>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</si>
  <si>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</si>
  <si>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</si>
  <si>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</si>
  <si>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</si>
  <si>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</si>
  <si>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</si>
  <si>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</si>
  <si>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</si>
  <si>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</si>
  <si>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</si>
  <si>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</si>
  <si>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</si>
  <si>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</si>
  <si>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</si>
  <si>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</si>
  <si>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</si>
  <si>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</si>
  <si>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</si>
  <si>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</si>
  <si>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</si>
  <si>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</si>
  <si>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</si>
  <si>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</si>
  <si>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</si>
  <si>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</si>
  <si>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</si>
  <si>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</si>
  <si>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</si>
  <si>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</si>
  <si>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</si>
  <si>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</si>
  <si>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</si>
  <si>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</si>
  <si>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</si>
  <si>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</si>
  <si>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</si>
  <si>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</si>
  <si>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</si>
  <si>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</si>
  <si>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</si>
  <si>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</si>
  <si>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</si>
  <si>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</si>
  <si>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</si>
  <si>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</si>
  <si>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</si>
  <si>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</si>
  <si>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</si>
  <si>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</si>
  <si>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</si>
  <si>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</si>
  <si>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</si>
  <si>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</si>
  <si>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</si>
  <si>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</si>
  <si>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</si>
  <si>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</si>
  <si>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</si>
  <si>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</si>
  <si>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</si>
  <si>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</si>
  <si>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</si>
  <si>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</si>
  <si>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</si>
  <si>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</si>
  <si>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</si>
  <si>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</si>
  <si>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</si>
  <si>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</si>
  <si>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</si>
  <si>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</si>
  <si>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</si>
  <si>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</si>
  <si>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</si>
  <si>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</si>
  <si>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</si>
  <si>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</si>
  <si>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</si>
  <si>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</si>
  <si>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</si>
  <si>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</si>
  <si>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</si>
  <si>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</si>
  <si>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</si>
  <si>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</si>
  <si>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</si>
  <si>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</si>
  <si>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</si>
  <si>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</si>
  <si>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</si>
  <si>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</si>
  <si>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</si>
  <si>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</si>
  <si>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</si>
  <si>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</si>
  <si>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</si>
  <si>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</si>
  <si>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</si>
  <si>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</si>
  <si>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</si>
  <si>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</si>
  <si>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</si>
  <si>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</si>
  <si>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</si>
  <si>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</si>
  <si>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</si>
  <si>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</si>
  <si>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</si>
  <si>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</si>
  <si>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</si>
  <si>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</si>
  <si>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</si>
  <si>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</si>
  <si>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</si>
  <si>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</si>
  <si>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</si>
  <si>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</si>
  <si>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</si>
  <si>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</si>
  <si>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</si>
  <si>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</si>
  <si>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</si>
  <si>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</si>
  <si>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</si>
  <si>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</si>
  <si>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</si>
  <si>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</si>
  <si>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</si>
  <si>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</si>
  <si>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</si>
  <si>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</si>
  <si>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</si>
  <si>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</si>
  <si>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</si>
  <si>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</si>
  <si>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</si>
  <si>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</si>
  <si>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</si>
  <si>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</si>
  <si>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</si>
  <si>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</si>
  <si>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</si>
  <si>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</si>
  <si>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</si>
  <si>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</si>
  <si>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</si>
  <si>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</si>
  <si>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</si>
  <si>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</si>
  <si>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</si>
  <si>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</si>
  <si>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</si>
  <si>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</si>
  <si>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</si>
  <si>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</si>
  <si>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</si>
  <si>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</si>
  <si>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</si>
  <si>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</si>
  <si>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</si>
  <si>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</si>
  <si>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</si>
  <si>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</si>
  <si>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</si>
  <si>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</si>
  <si>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</si>
  <si>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</si>
  <si>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</si>
  <si>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</si>
  <si>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</si>
  <si>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</si>
  <si>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</si>
  <si>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</si>
  <si>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</si>
  <si>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</si>
  <si>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</si>
  <si>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</si>
  <si>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</si>
  <si>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</si>
  <si>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</si>
  <si>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</si>
  <si>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</si>
  <si>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</si>
  <si>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</si>
  <si>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</si>
  <si>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</si>
  <si>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</si>
  <si>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</si>
  <si>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</si>
  <si>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</si>
  <si>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</si>
  <si>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</si>
  <si>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</si>
  <si>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</si>
  <si>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</si>
  <si>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</si>
  <si>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</si>
  <si>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</si>
  <si>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</si>
  <si>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</si>
  <si>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</si>
  <si>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</si>
  <si>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</si>
  <si>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</si>
  <si>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</si>
  <si>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</si>
  <si>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</si>
  <si>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</si>
  <si>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</si>
  <si>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</si>
  <si>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</si>
  <si>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</si>
  <si>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</si>
  <si>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</si>
  <si>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</si>
  <si>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</si>
  <si>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</si>
  <si>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</si>
  <si>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</si>
  <si>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</si>
  <si>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</si>
  <si>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</si>
  <si>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</si>
  <si>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</si>
  <si>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</si>
  <si>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</si>
  <si>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</si>
  <si>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</si>
  <si>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</si>
  <si>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</si>
  <si>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</si>
  <si>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</si>
  <si>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</si>
  <si>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</si>
  <si>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</si>
  <si>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</si>
  <si>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</si>
  <si>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</si>
  <si>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</si>
  <si>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</si>
  <si>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</si>
  <si>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</si>
  <si>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</si>
  <si>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</si>
  <si>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</si>
  <si>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</si>
  <si>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</si>
  <si>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</si>
  <si>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</si>
  <si>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</si>
  <si>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</si>
  <si>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</si>
  <si>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</si>
  <si>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</si>
  <si>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</si>
  <si>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</si>
  <si>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</si>
  <si>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</si>
  <si>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</si>
  <si>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</si>
  <si>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</si>
  <si>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</si>
  <si>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</si>
  <si>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</si>
  <si>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</si>
  <si>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</si>
  <si>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</si>
  <si>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</si>
  <si>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</si>
  <si>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</si>
  <si>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</si>
  <si>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</si>
  <si>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</si>
  <si>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</si>
  <si>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</si>
  <si>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</si>
  <si>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</si>
  <si>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</si>
  <si>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</si>
  <si>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</si>
  <si>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</si>
  <si>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</si>
  <si>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</si>
  <si>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</si>
  <si>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</si>
  <si>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</si>
  <si>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</si>
  <si>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</si>
  <si>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</si>
  <si>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</si>
  <si>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</si>
  <si>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</si>
  <si>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</si>
  <si>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</si>
  <si>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</si>
  <si>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</si>
  <si>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</si>
  <si>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</si>
  <si>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</si>
  <si>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</si>
  <si>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</si>
  <si>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</si>
  <si>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</si>
  <si>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</si>
  <si>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</si>
  <si>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</si>
  <si>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</si>
  <si>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</si>
  <si>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</si>
  <si>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</si>
  <si>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</si>
  <si>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</si>
  <si>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</si>
  <si>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</si>
  <si>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</si>
  <si>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</si>
  <si>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</si>
  <si>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</si>
  <si>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</si>
  <si>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</si>
  <si>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</si>
  <si>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</si>
  <si>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</si>
  <si>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</si>
  <si>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</si>
  <si>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</si>
  <si>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</si>
  <si>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</si>
  <si>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</si>
  <si>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</si>
  <si>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</si>
  <si>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</si>
  <si>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</si>
  <si>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</si>
  <si>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</si>
  <si>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</si>
  <si>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</si>
  <si>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</si>
  <si>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</si>
  <si>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</si>
  <si>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</si>
  <si>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</si>
  <si>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</si>
  <si>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</si>
  <si>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</si>
  <si>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</si>
  <si>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</si>
  <si>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</si>
  <si>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</si>
  <si>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</si>
  <si>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</si>
  <si>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</si>
  <si>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</si>
  <si>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</si>
  <si>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</si>
  <si>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</si>
  <si>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</si>
  <si>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</si>
  <si>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</si>
  <si>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</si>
  <si>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</si>
  <si>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</si>
  <si>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</si>
  <si>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</si>
  <si>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</si>
  <si>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</si>
  <si>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</si>
  <si>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</si>
  <si>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</si>
  <si>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</si>
  <si>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</si>
  <si>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</si>
  <si>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</si>
  <si>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</si>
  <si>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</si>
  <si>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</si>
  <si>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</si>
  <si>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</si>
  <si>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</si>
  <si>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</si>
  <si>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</si>
  <si>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</si>
  <si>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</si>
  <si>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</si>
  <si>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</si>
  <si>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</si>
  <si>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</si>
  <si>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</si>
  <si>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</si>
  <si>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</si>
  <si>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</si>
  <si>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</si>
  <si>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</si>
  <si>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</si>
  <si>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</si>
  <si>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</si>
  <si>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</si>
  <si>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</si>
  <si>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</si>
  <si>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</si>
  <si>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</si>
  <si>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</si>
  <si>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</si>
  <si>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</si>
  <si>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</si>
  <si>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</si>
  <si>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</si>
  <si>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</si>
  <si>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</si>
  <si>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</si>
  <si>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</si>
  <si>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</si>
  <si>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</si>
  <si>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</si>
  <si>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</si>
  <si>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</si>
  <si>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</si>
  <si>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</si>
  <si>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</si>
  <si>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</si>
  <si>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</si>
  <si>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</si>
  <si>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</si>
  <si>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</si>
  <si>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</si>
  <si>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</si>
  <si>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</si>
  <si>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</si>
  <si>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</si>
  <si>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</si>
  <si>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</si>
  <si>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</si>
  <si>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</si>
  <si>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</si>
  <si>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</si>
  <si>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</si>
  <si>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</si>
  <si>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</si>
  <si>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</si>
  <si>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</si>
  <si>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</si>
  <si>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</si>
  <si>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</si>
  <si>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</si>
  <si>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</si>
  <si>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</si>
  <si>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</si>
  <si>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</si>
  <si>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</si>
  <si>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</si>
  <si>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</si>
  <si>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</si>
  <si>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</si>
  <si>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</si>
  <si>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</si>
  <si>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</si>
  <si>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</si>
  <si>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</si>
  <si>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</si>
  <si>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</si>
  <si>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</si>
  <si>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</si>
  <si>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</si>
  <si>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</si>
  <si>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</si>
  <si>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</si>
  <si>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</si>
  <si>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</si>
  <si>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</si>
  <si>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</si>
  <si>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</si>
  <si>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</si>
  <si>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</si>
  <si>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</si>
  <si>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</si>
  <si>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</si>
  <si>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</si>
  <si>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</si>
  <si>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</si>
  <si>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</si>
  <si>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</si>
  <si>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</si>
  <si>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</si>
  <si>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</si>
  <si>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</si>
  <si>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</si>
  <si>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</si>
  <si>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</si>
  <si>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</si>
  <si>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</si>
  <si>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</si>
  <si>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</si>
  <si>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</si>
  <si>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</si>
  <si>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</si>
  <si>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</si>
  <si>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</si>
  <si>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</si>
  <si>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</si>
  <si>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</si>
  <si>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</si>
  <si>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</si>
  <si>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</si>
  <si>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</si>
  <si>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</si>
  <si>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</si>
  <si>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</si>
  <si>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</si>
  <si>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</si>
  <si>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</si>
  <si>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</si>
  <si>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</si>
  <si>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</si>
  <si>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</si>
  <si>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</si>
  <si>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</si>
  <si>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</si>
  <si>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</si>
  <si>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</si>
  <si>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</si>
  <si>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</si>
  <si>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</si>
  <si>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</si>
  <si>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</si>
  <si>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</si>
  <si>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</si>
  <si>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</si>
  <si>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</si>
  <si>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</si>
  <si>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</si>
  <si>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</si>
  <si>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</si>
  <si>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</si>
  <si>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</si>
  <si>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</si>
  <si>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</si>
  <si>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</si>
  <si>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</si>
  <si>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</si>
  <si>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</si>
  <si>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</si>
  <si>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</si>
  <si>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</si>
  <si>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</si>
  <si>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</si>
  <si>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</si>
  <si>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</si>
  <si>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</si>
  <si>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</si>
  <si>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</si>
  <si>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</si>
  <si>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</si>
  <si>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</si>
  <si>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</si>
  <si>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</si>
  <si>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</si>
  <si>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</si>
  <si>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</si>
  <si>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</si>
  <si>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</si>
  <si>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</si>
  <si>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</si>
  <si>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</si>
  <si>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</si>
  <si>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</si>
  <si>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</si>
  <si>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</si>
  <si>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</si>
  <si>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</si>
  <si>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</si>
  <si>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</si>
  <si>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</si>
  <si>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</si>
  <si>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</si>
  <si>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</si>
  <si>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</si>
  <si>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</si>
  <si>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</si>
  <si>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</si>
  <si>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</si>
  <si>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</si>
  <si>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</si>
  <si>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</si>
  <si>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</si>
  <si>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</si>
  <si>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</si>
  <si>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</si>
  <si>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</si>
  <si>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</si>
  <si>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</si>
  <si>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</si>
  <si>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</si>
  <si>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</si>
  <si>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</si>
  <si>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</si>
  <si>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</si>
  <si>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</si>
  <si>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</si>
  <si>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</si>
  <si>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</si>
  <si>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</si>
  <si>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</si>
  <si>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</si>
  <si>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</si>
  <si>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</si>
  <si>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</si>
  <si>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</si>
  <si>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</si>
  <si>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</si>
  <si>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</si>
  <si>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</si>
  <si>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</si>
  <si>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</si>
  <si>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</si>
  <si>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</si>
  <si>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</si>
  <si>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</si>
  <si>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</si>
  <si>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</si>
  <si>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</si>
  <si>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</si>
  <si>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</si>
  <si>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</si>
  <si>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</si>
  <si>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</si>
  <si>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</si>
  <si>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</si>
  <si>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</si>
  <si>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</si>
  <si>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</si>
  <si>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</si>
  <si>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</si>
  <si>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</si>
  <si>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</si>
  <si>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</si>
  <si>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</si>
  <si>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</si>
  <si>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</si>
  <si>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</si>
  <si>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</si>
  <si>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</si>
  <si>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</si>
  <si>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</si>
  <si>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</si>
  <si>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</si>
  <si>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</si>
  <si>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</si>
  <si>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</si>
  <si>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</si>
  <si>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</si>
  <si>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</si>
  <si>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</si>
  <si>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</si>
  <si>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</si>
  <si>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</si>
  <si>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</si>
  <si>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</si>
  <si>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</si>
  <si>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</si>
  <si>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</si>
  <si>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</si>
  <si>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</si>
  <si>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</si>
  <si>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</si>
  <si>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</si>
  <si>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</si>
  <si>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</si>
  <si>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</si>
  <si>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</si>
  <si>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</si>
  <si>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</si>
  <si>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</si>
  <si>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</si>
  <si>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</si>
  <si>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</si>
  <si>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</si>
  <si>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</si>
  <si>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</si>
  <si>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</si>
  <si>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</si>
  <si>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</si>
  <si>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</si>
  <si>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</si>
  <si>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</si>
  <si>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</si>
  <si>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</si>
  <si>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</si>
  <si>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</si>
  <si>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</si>
  <si>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</si>
  <si>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</si>
  <si>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</si>
  <si>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</si>
  <si>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</si>
  <si>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</si>
  <si>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</si>
  <si>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</si>
  <si>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</si>
  <si>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</si>
  <si>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</si>
  <si>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</si>
  <si>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</si>
  <si>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</si>
  <si>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</si>
  <si>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</si>
  <si>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</si>
  <si>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</si>
  <si>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</si>
  <si>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</si>
  <si>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</si>
  <si>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</si>
  <si>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</si>
  <si>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</si>
  <si>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</si>
  <si>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</si>
  <si>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</si>
  <si>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</si>
  <si>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</si>
  <si>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</si>
  <si>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</si>
  <si>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</si>
  <si>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</si>
  <si>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</si>
  <si>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</si>
  <si>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</si>
  <si>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</si>
  <si>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</si>
  <si>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</si>
  <si>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</si>
  <si>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</si>
  <si>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</si>
  <si>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</si>
  <si>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</si>
  <si>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</si>
  <si>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</si>
  <si>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</si>
  <si>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</si>
  <si>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</si>
  <si>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</si>
  <si>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</si>
  <si>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</si>
  <si>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</si>
  <si>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</si>
  <si>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</si>
  <si>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</si>
  <si>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</si>
  <si>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</si>
  <si>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</si>
  <si>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</si>
  <si>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</si>
  <si>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</si>
  <si>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</si>
  <si>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</si>
  <si>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</si>
  <si>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</si>
  <si>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</si>
  <si>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</si>
  <si>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</si>
  <si>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</si>
  <si>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</si>
  <si>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</si>
  <si>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</si>
  <si>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</si>
  <si>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</si>
  <si>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</si>
  <si>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</si>
  <si>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</si>
  <si>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</si>
  <si>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</si>
  <si>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</si>
  <si>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</si>
  <si>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</si>
  <si>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</si>
  <si>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</si>
  <si>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</si>
  <si>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</si>
  <si>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</si>
  <si>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</si>
  <si>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</si>
  <si>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</si>
  <si>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</si>
  <si>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</si>
  <si>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</si>
  <si>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</si>
  <si>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</si>
  <si>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</si>
  <si>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</si>
  <si>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</si>
  <si>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</si>
  <si>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</si>
  <si>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</si>
  <si>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</si>
  <si>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</si>
  <si>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</si>
  <si>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</si>
  <si>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</si>
  <si>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</si>
  <si>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</si>
  <si>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</si>
  <si>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</si>
  <si>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</si>
  <si>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</si>
  <si>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</si>
  <si>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</si>
  <si>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</si>
  <si>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</si>
  <si>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</si>
  <si>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</si>
  <si>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</si>
  <si>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</si>
  <si>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</si>
  <si>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</si>
  <si>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</si>
  <si>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</si>
  <si>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</si>
  <si>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</si>
  <si>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</si>
  <si>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</si>
  <si>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</si>
  <si>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</si>
  <si>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</si>
  <si>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</si>
  <si>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</si>
  <si>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</si>
  <si>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</si>
  <si>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</si>
  <si>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</si>
  <si>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</si>
  <si>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</si>
  <si>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</si>
  <si>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</si>
  <si>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</si>
  <si>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</si>
  <si>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</si>
  <si>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</si>
  <si>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</si>
  <si>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</si>
  <si>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</si>
  <si>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</si>
  <si>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</si>
  <si>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</si>
  <si>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</si>
  <si>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</si>
  <si>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</si>
  <si>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</si>
  <si>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</si>
  <si>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</si>
  <si>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</si>
  <si>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</si>
  <si>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</si>
  <si>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</si>
  <si>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</si>
  <si>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</si>
  <si>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</si>
  <si>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</si>
  <si>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</si>
  <si>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</si>
  <si>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</si>
  <si>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</si>
  <si>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</si>
  <si>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</si>
  <si>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</si>
  <si>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</si>
  <si>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</si>
  <si>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</si>
  <si>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</si>
  <si>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</si>
  <si>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</si>
  <si>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</si>
  <si>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</si>
  <si>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</si>
  <si>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</si>
  <si>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</si>
  <si>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</si>
  <si>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</si>
  <si>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</si>
  <si>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</si>
  <si>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</si>
  <si>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</si>
  <si>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</si>
  <si>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</si>
  <si>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</si>
  <si>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</si>
  <si>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</si>
  <si>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</si>
  <si>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</si>
  <si>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</si>
  <si>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</si>
  <si>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</si>
  <si>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</si>
  <si>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</si>
  <si>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</si>
  <si>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</si>
  <si>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</si>
  <si>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</si>
  <si>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</si>
  <si>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</si>
  <si>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</si>
  <si>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</si>
  <si>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</si>
  <si>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</si>
  <si>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</si>
  <si>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</si>
  <si>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</si>
  <si>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</si>
  <si>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</si>
  <si>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</si>
  <si>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</si>
  <si>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</si>
  <si>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</si>
  <si>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</si>
  <si>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</si>
  <si>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</si>
  <si>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</si>
  <si>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</si>
  <si>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</si>
  <si>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</si>
  <si>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</si>
  <si>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</si>
  <si>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</si>
  <si>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</si>
  <si>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</si>
  <si>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</si>
  <si>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</si>
  <si>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</si>
  <si>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</si>
  <si>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</si>
  <si>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</si>
  <si>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</si>
  <si>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</si>
  <si>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</si>
  <si>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</si>
  <si>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</si>
  <si>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</si>
  <si>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</si>
  <si>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</si>
  <si>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</si>
  <si>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</si>
  <si>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</si>
  <si>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</si>
  <si>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</si>
  <si>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</si>
  <si>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</si>
  <si>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</si>
  <si>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</si>
  <si>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</si>
  <si>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</si>
  <si>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</si>
  <si>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</si>
  <si>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</si>
  <si>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</si>
  <si>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</si>
  <si>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</si>
  <si>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</si>
  <si>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</si>
  <si>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</si>
  <si>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</si>
  <si>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</si>
  <si>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</si>
  <si>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</si>
  <si>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</si>
  <si>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</si>
  <si>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</si>
  <si>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</si>
  <si>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</si>
  <si>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</si>
  <si>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</si>
  <si>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</si>
  <si>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</si>
  <si>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</si>
  <si>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</si>
  <si>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</si>
  <si>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</si>
  <si>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</si>
  <si>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</si>
  <si>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</si>
  <si>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</si>
  <si>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</si>
  <si>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</si>
  <si>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SPS2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</si>
  <si>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</si>
  <si>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</si>
  <si>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Cars stock additions additions</t>
  </si>
  <si>
    <t>New car registrations - the number in a year is cummulative registrations for the period represented under this year</t>
  </si>
  <si>
    <t>Urban buses stock additions</t>
  </si>
  <si>
    <t>New urban buses registrations - the number in a year is cummulative registrations for the period represented under this year</t>
  </si>
  <si>
    <t>Coaches stock additions</t>
  </si>
  <si>
    <t>New coaches registrations - the number in a year is cummulative registrations for the period represented under this year</t>
  </si>
  <si>
    <t>Light duty vehicles stock additions</t>
  </si>
  <si>
    <t>New light duty vehicle registrations - the number in a year is cummulative registrations for the period represented under this year</t>
  </si>
  <si>
    <t>Heavy duty vehicles stock additions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</si>
  <si>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</si>
  <si>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</si>
  <si>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Newly installed capacity  - the capacity additions are reported for the whole period represented under the milestone year</t>
  </si>
  <si>
    <t>Process and space heating capacity additions in industry sectors</t>
  </si>
  <si>
    <t>Space water and process heat boiler capacity additions in Services sectors</t>
  </si>
  <si>
    <t>Domestic hydrogen production capacity additions</t>
  </si>
  <si>
    <t>Other fuel synthesis capacity additions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</si>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</sst>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P07%20integrated%20modelling/STEM_Results/sps2_secur_b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</row>
        <row r="2"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EHYD-DAM15</v>
          </cell>
          <cell r="C4" t="str">
            <v>VAR_fout</v>
          </cell>
          <cell r="D4" t="str">
            <v>ELC</v>
          </cell>
          <cell r="F4">
            <v>1.2749353003630479E-2</v>
          </cell>
          <cell r="G4">
            <v>1.5194493421291819E-2</v>
          </cell>
          <cell r="H4">
            <v>1.5404741437371075E-2</v>
          </cell>
          <cell r="I4">
            <v>1.8059862270301463</v>
          </cell>
          <cell r="J4">
            <v>2.7089811574088296</v>
          </cell>
        </row>
        <row r="5">
          <cell r="B5" t="str">
            <v>EHYD-DAM15</v>
          </cell>
          <cell r="C5" t="str">
            <v>VAR_fin</v>
          </cell>
          <cell r="D5" t="str">
            <v>HYDD</v>
          </cell>
          <cell r="F5">
            <v>1.2749353003630479E-2</v>
          </cell>
          <cell r="G5">
            <v>1.5194493421291819E-2</v>
          </cell>
          <cell r="H5">
            <v>1.5404741437371075E-2</v>
          </cell>
          <cell r="I5">
            <v>1.8059862270301463</v>
          </cell>
          <cell r="J5">
            <v>2.7089811574088296</v>
          </cell>
        </row>
        <row r="6">
          <cell r="B6" t="str">
            <v>EHYD-DAM15</v>
          </cell>
          <cell r="C6" t="str">
            <v>VAR_ncap</v>
          </cell>
          <cell r="D6" t="str">
            <v>-</v>
          </cell>
          <cell r="F6">
            <v>1.6222170251072999E-3</v>
          </cell>
          <cell r="G6">
            <v>1.2587260773655099E-4</v>
          </cell>
          <cell r="H6">
            <v>0.206939858107557</v>
          </cell>
          <cell r="I6">
            <v>3.2984373892838002E-2</v>
          </cell>
          <cell r="J6">
            <v>0.107511933057221</v>
          </cell>
        </row>
        <row r="7">
          <cell r="B7" t="str">
            <v>EHYD-DAM15</v>
          </cell>
          <cell r="C7" t="str">
            <v>VAR_cap</v>
          </cell>
          <cell r="D7" t="str">
            <v>-</v>
          </cell>
          <cell r="F7">
            <v>1.6222170251072999E-3</v>
          </cell>
          <cell r="G7">
            <v>1.6222170251072999E-3</v>
          </cell>
          <cell r="H7">
            <v>1.6222170251072999E-3</v>
          </cell>
          <cell r="I7">
            <v>0.208687947740401</v>
          </cell>
          <cell r="J7">
            <v>0.27371044248822002</v>
          </cell>
        </row>
        <row r="8">
          <cell r="B8" t="str">
            <v>D-RPLT</v>
          </cell>
          <cell r="C8" t="str">
            <v>VAR_fout</v>
          </cell>
          <cell r="D8" t="str">
            <v>RPLT</v>
          </cell>
          <cell r="E8">
            <v>3.2683197174434624</v>
          </cell>
          <cell r="F8">
            <v>3.8320394331420657</v>
          </cell>
          <cell r="G8">
            <v>0.64693855306335313</v>
          </cell>
          <cell r="H8">
            <v>0.79176862868500975</v>
          </cell>
          <cell r="I8">
            <v>0.88640623601479518</v>
          </cell>
          <cell r="J8">
            <v>0.77219160364495831</v>
          </cell>
        </row>
        <row r="9">
          <cell r="B9" t="str">
            <v>D-RPLT</v>
          </cell>
          <cell r="C9" t="str">
            <v>VAR_fin</v>
          </cell>
          <cell r="D9" t="str">
            <v>PLT</v>
          </cell>
          <cell r="E9">
            <v>3.2683197174434624</v>
          </cell>
          <cell r="F9">
            <v>3.8320394331420657</v>
          </cell>
          <cell r="G9">
            <v>0.64693855306335313</v>
          </cell>
          <cell r="H9">
            <v>0.79176862868500975</v>
          </cell>
          <cell r="I9">
            <v>0.88640623601479518</v>
          </cell>
          <cell r="J9">
            <v>0.77219160364495831</v>
          </cell>
        </row>
        <row r="10">
          <cell r="B10" t="str">
            <v>ITOT-CHPNGA</v>
          </cell>
          <cell r="C10" t="str">
            <v>VAR_fout</v>
          </cell>
          <cell r="D10" t="str">
            <v>ITOT_NKEV_GAS_ELC_CHP</v>
          </cell>
          <cell r="E10">
            <v>0.67002398736930913</v>
          </cell>
          <cell r="F10">
            <v>8.0525760769829091E-2</v>
          </cell>
          <cell r="G10">
            <v>5.2666917697216598E-2</v>
          </cell>
          <cell r="H10">
            <v>2.4764086765531348E-2</v>
          </cell>
          <cell r="I10">
            <v>0.65882464014851272</v>
          </cell>
          <cell r="J10">
            <v>0.42370776001149951</v>
          </cell>
        </row>
        <row r="11">
          <cell r="B11" t="str">
            <v>ITOT-CHPNGA</v>
          </cell>
          <cell r="C11" t="str">
            <v>VAR_fout</v>
          </cell>
          <cell r="D11" t="str">
            <v>ITOT_LTH_CHP</v>
          </cell>
          <cell r="E11">
            <v>2.0852093099188789</v>
          </cell>
          <cell r="F11">
            <v>0.23466720266730054</v>
          </cell>
          <cell r="G11">
            <v>0.13784291086206529</v>
          </cell>
          <cell r="H11">
            <v>5.2558670938636545E-2</v>
          </cell>
          <cell r="I11">
            <v>0.74619012189709255</v>
          </cell>
          <cell r="J11">
            <v>0.46830857685481686</v>
          </cell>
        </row>
        <row r="12">
          <cell r="B12" t="str">
            <v>ITOT-CHPNGA</v>
          </cell>
          <cell r="C12" t="str">
            <v>VAR_fout</v>
          </cell>
          <cell r="D12" t="str">
            <v>CO2_I</v>
          </cell>
          <cell r="E12">
            <v>109.280721313802</v>
          </cell>
          <cell r="F12">
            <v>12.9619994907932</v>
          </cell>
          <cell r="G12">
            <v>8.7649975518970695</v>
          </cell>
          <cell r="H12">
            <v>3.90090845774218</v>
          </cell>
          <cell r="I12">
            <v>103.531683498435</v>
          </cell>
          <cell r="J12">
            <v>68.435295129386702</v>
          </cell>
        </row>
        <row r="13">
          <cell r="B13" t="str">
            <v>ITOT-CHPNGA</v>
          </cell>
          <cell r="C13" t="str">
            <v>VAR_fin</v>
          </cell>
          <cell r="D13" t="str">
            <v>INGA</v>
          </cell>
          <cell r="E13">
            <v>1.9376014417340717</v>
          </cell>
          <cell r="F13">
            <v>0.22982268600697223</v>
          </cell>
          <cell r="G13">
            <v>0.1554077580123592</v>
          </cell>
          <cell r="H13">
            <v>6.9165043576989063E-2</v>
          </cell>
          <cell r="I13">
            <v>1.8356681471353737</v>
          </cell>
          <cell r="J13">
            <v>1.2133917576132391</v>
          </cell>
        </row>
        <row r="14">
          <cell r="B14" t="str">
            <v>ITOT-CHPNGA</v>
          </cell>
          <cell r="C14" t="str">
            <v>VAR_ncap</v>
          </cell>
          <cell r="D14" t="str">
            <v>-</v>
          </cell>
          <cell r="F14">
            <v>1.3884539888651699E-6</v>
          </cell>
          <cell r="G14">
            <v>1.17504599350788E-4</v>
          </cell>
          <cell r="H14">
            <v>2.0142925321751399E-3</v>
          </cell>
          <cell r="I14">
            <v>6.2664265183512896E-2</v>
          </cell>
          <cell r="J14">
            <v>9.8834450190666802E-6</v>
          </cell>
        </row>
        <row r="15">
          <cell r="B15" t="str">
            <v>ITOT-CHPNGA</v>
          </cell>
          <cell r="C15" t="str">
            <v>VAR_cap</v>
          </cell>
          <cell r="D15" t="str">
            <v>-</v>
          </cell>
          <cell r="E15">
            <v>2.5860735527169304E-2</v>
          </cell>
          <cell r="F15">
            <v>1.9127372504588368E-2</v>
          </cell>
          <cell r="G15">
            <v>1.2515636670231957E-2</v>
          </cell>
          <cell r="H15">
            <v>5.8888560248377877E-3</v>
          </cell>
          <cell r="I15">
            <v>6.6405254244868955E-2</v>
          </cell>
          <cell r="J15">
            <v>6.4473809139384414E-2</v>
          </cell>
        </row>
        <row r="16">
          <cell r="B16" t="str">
            <v>G-INTC-IMP00-IT</v>
          </cell>
          <cell r="C16" t="str">
            <v>VAR_fout</v>
          </cell>
          <cell r="D16" t="str">
            <v>ELC</v>
          </cell>
          <cell r="E16">
            <v>6.7991061859508157</v>
          </cell>
          <cell r="F16">
            <v>1.4773843511531705E-3</v>
          </cell>
          <cell r="G16">
            <v>1.2944362679624022E-3</v>
          </cell>
          <cell r="H16">
            <v>6.2482431988887467E-4</v>
          </cell>
          <cell r="I16">
            <v>6.0181411929966519E-4</v>
          </cell>
          <cell r="J16">
            <v>4.6053669656159383E-4</v>
          </cell>
        </row>
        <row r="17">
          <cell r="B17" t="str">
            <v>G-INTC-IMP00-IT</v>
          </cell>
          <cell r="C17" t="str">
            <v>VAR_fin</v>
          </cell>
          <cell r="D17" t="str">
            <v>ELC_I-IT</v>
          </cell>
          <cell r="E17">
            <v>6.7991061859508157</v>
          </cell>
          <cell r="F17">
            <v>1.4773843511531705E-3</v>
          </cell>
          <cell r="G17">
            <v>1.2944362679624022E-3</v>
          </cell>
          <cell r="H17">
            <v>6.2482431988887467E-4</v>
          </cell>
          <cell r="I17">
            <v>6.0181411929966519E-4</v>
          </cell>
          <cell r="J17">
            <v>4.6053669656159383E-4</v>
          </cell>
        </row>
        <row r="18">
          <cell r="B18" t="str">
            <v>G-INTC-IMP00-IT</v>
          </cell>
          <cell r="C18" t="str">
            <v>VAR_ncap</v>
          </cell>
          <cell r="D18" t="str">
            <v>-</v>
          </cell>
          <cell r="E18">
            <v>4.1378753168187103E-6</v>
          </cell>
          <cell r="F18">
            <v>4.0317026980408203E-6</v>
          </cell>
          <cell r="G18">
            <v>5.0182262909476604E-6</v>
          </cell>
          <cell r="H18">
            <v>6.5410309051093396E-6</v>
          </cell>
          <cell r="I18">
            <v>5.8064330365131402E-6</v>
          </cell>
          <cell r="J18">
            <v>1.1139044542771299E-5</v>
          </cell>
        </row>
        <row r="19">
          <cell r="B19" t="str">
            <v>G-INTC-IMP00-IT</v>
          </cell>
          <cell r="C19" t="str">
            <v>VAR_cap</v>
          </cell>
          <cell r="D19" t="str">
            <v>-</v>
          </cell>
          <cell r="E19">
            <v>1.4638609028958256</v>
          </cell>
          <cell r="F19">
            <v>1.4926488649400493E-3</v>
          </cell>
          <cell r="G19">
            <v>1.4517755447100988E-3</v>
          </cell>
          <cell r="H19">
            <v>1.3706211499024956E-3</v>
          </cell>
          <cell r="I19">
            <v>1.3654962961509032E-3</v>
          </cell>
          <cell r="J19">
            <v>1.3687595272979802E-3</v>
          </cell>
        </row>
        <row r="20">
          <cell r="B20" t="str">
            <v>SCOM-EBAT</v>
          </cell>
          <cell r="C20" t="str">
            <v>VAR_fout</v>
          </cell>
          <cell r="D20" t="str">
            <v>AUX_SCOM-EBAT_OUT</v>
          </cell>
          <cell r="E20">
            <v>3.5416769315092522E-3</v>
          </cell>
          <cell r="F20">
            <v>3.5216817036775885E-3</v>
          </cell>
          <cell r="G20">
            <v>3.5334948277790912E-3</v>
          </cell>
          <cell r="H20">
            <v>7.9730655857926686E-2</v>
          </cell>
          <cell r="I20">
            <v>5.5580056172108566E-2</v>
          </cell>
          <cell r="J20">
            <v>4.3180261215012769E-2</v>
          </cell>
        </row>
        <row r="21">
          <cell r="B21" t="str">
            <v>SCOM-EBAT</v>
          </cell>
          <cell r="C21" t="str">
            <v>VAR_fout</v>
          </cell>
          <cell r="D21" t="str">
            <v>SCOM_ELC</v>
          </cell>
          <cell r="E21">
            <v>3.5416769315092496E-3</v>
          </cell>
          <cell r="F21">
            <v>3.521681703677585E-3</v>
          </cell>
          <cell r="G21">
            <v>3.5334948277790856E-3</v>
          </cell>
          <cell r="H21">
            <v>7.973065585792663E-2</v>
          </cell>
          <cell r="I21">
            <v>5.5580056172108518E-2</v>
          </cell>
          <cell r="J21">
            <v>4.3180261215012734E-2</v>
          </cell>
        </row>
        <row r="22">
          <cell r="B22" t="str">
            <v>SCOM-EBAT</v>
          </cell>
          <cell r="C22" t="str">
            <v>VAR_fin</v>
          </cell>
          <cell r="D22" t="str">
            <v>AUX_SCOM-EBAT_IN</v>
          </cell>
          <cell r="E22">
            <v>3.9479148221800743E-3</v>
          </cell>
          <cell r="F22">
            <v>3.9204416300784809E-3</v>
          </cell>
          <cell r="G22">
            <v>3.9117965518261711E-3</v>
          </cell>
          <cell r="H22">
            <v>8.8174242368333253E-2</v>
          </cell>
          <cell r="I22">
            <v>6.146649470679412E-2</v>
          </cell>
          <cell r="J22">
            <v>4.7753997981646513E-2</v>
          </cell>
        </row>
        <row r="23">
          <cell r="B23" t="str">
            <v>SCOM-EBAT</v>
          </cell>
          <cell r="C23" t="str">
            <v>VAR_fin</v>
          </cell>
          <cell r="D23" t="str">
            <v>SCOM_ELC</v>
          </cell>
          <cell r="E23">
            <v>3.9479148221800743E-3</v>
          </cell>
          <cell r="F23">
            <v>3.9204416300784809E-3</v>
          </cell>
          <cell r="G23">
            <v>3.9117965518261711E-3</v>
          </cell>
          <cell r="H23">
            <v>8.8174242368333253E-2</v>
          </cell>
          <cell r="I23">
            <v>6.146649470679412E-2</v>
          </cell>
          <cell r="J23">
            <v>4.7753997981646513E-2</v>
          </cell>
        </row>
        <row r="24">
          <cell r="B24" t="str">
            <v>SCOM-EBAT</v>
          </cell>
          <cell r="C24" t="str">
            <v>VAR_ncap</v>
          </cell>
          <cell r="D24" t="str">
            <v>-</v>
          </cell>
          <cell r="E24">
            <v>1.44354856317582E-3</v>
          </cell>
          <cell r="F24">
            <v>2.29282713862438E-6</v>
          </cell>
          <cell r="G24">
            <v>6.2632180227310199E-6</v>
          </cell>
          <cell r="H24">
            <v>3.1593588799364899E-2</v>
          </cell>
          <cell r="I24">
            <v>2.67041896619481E-2</v>
          </cell>
          <cell r="J24">
            <v>5.6019494687663601E-3</v>
          </cell>
        </row>
        <row r="25">
          <cell r="B25" t="str">
            <v>SCOM-EBAT</v>
          </cell>
          <cell r="C25" t="str">
            <v>VAR_cap</v>
          </cell>
          <cell r="D25" t="str">
            <v>-</v>
          </cell>
          <cell r="E25">
            <v>1.4457703461502394E-3</v>
          </cell>
          <cell r="F25">
            <v>1.4473333403808302E-3</v>
          </cell>
          <cell r="G25">
            <v>1.452195437087645E-3</v>
          </cell>
          <cell r="H25">
            <v>3.2655756140199936E-2</v>
          </cell>
          <cell r="I25">
            <v>3.3205949496797761E-2</v>
          </cell>
          <cell r="J25">
            <v>1.9152551882859106E-2</v>
          </cell>
        </row>
        <row r="26">
          <cell r="B26" t="str">
            <v>SCOM-SWHSTG-CHPNGA</v>
          </cell>
          <cell r="C26" t="str">
            <v>VAR_fout</v>
          </cell>
          <cell r="D26" t="str">
            <v>SCOM_LTH_CHPNGA</v>
          </cell>
          <cell r="E26">
            <v>1.3690175563138896E-4</v>
          </cell>
          <cell r="F26">
            <v>1.1265377895261156E-3</v>
          </cell>
          <cell r="G26">
            <v>6.9563580139999831E-2</v>
          </cell>
          <cell r="H26">
            <v>1.8240805163975145E-2</v>
          </cell>
          <cell r="I26">
            <v>3.6037959122990369E-2</v>
          </cell>
          <cell r="J26">
            <v>3.3464873199922908E-4</v>
          </cell>
        </row>
        <row r="27">
          <cell r="B27" t="str">
            <v>SCOM-SWHSTG-CHPNGA</v>
          </cell>
          <cell r="C27" t="str">
            <v>VAR_fout</v>
          </cell>
          <cell r="D27" t="str">
            <v>AUX_SCOM-CHPNGA_OUT</v>
          </cell>
          <cell r="E27">
            <v>1.3690175563138871E-4</v>
          </cell>
          <cell r="F27">
            <v>1.1256177443710739E-3</v>
          </cell>
          <cell r="G27">
            <v>6.947485108369876E-2</v>
          </cell>
          <cell r="H27">
            <v>1.8240805163975169E-2</v>
          </cell>
          <cell r="I27">
            <v>3.6037959122990411E-2</v>
          </cell>
          <cell r="J27">
            <v>3.3464873199922913E-4</v>
          </cell>
        </row>
        <row r="28">
          <cell r="B28" t="str">
            <v>SCOM-SWHSTG-CHPNGA</v>
          </cell>
          <cell r="C28" t="str">
            <v>VAR_fin</v>
          </cell>
          <cell r="D28" t="str">
            <v>SCOM_LTH_CHPNGA</v>
          </cell>
          <cell r="E28">
            <v>1.1267634281582995E-4</v>
          </cell>
          <cell r="F28">
            <v>1.374298494652538E-3</v>
          </cell>
          <cell r="G28">
            <v>8.2767937547590015E-2</v>
          </cell>
          <cell r="H28">
            <v>2.0931883379422159E-2</v>
          </cell>
          <cell r="I28">
            <v>3.8732759630201632E-2</v>
          </cell>
          <cell r="J28">
            <v>3.3464873199922908E-4</v>
          </cell>
        </row>
        <row r="29">
          <cell r="B29" t="str">
            <v>SCOM-SWHSTG-CHPNGA</v>
          </cell>
          <cell r="C29" t="str">
            <v>VAR_fin</v>
          </cell>
          <cell r="D29" t="str">
            <v>AUX_SCOM-CHPNGA_IN</v>
          </cell>
          <cell r="E29">
            <v>1.1267634281582995E-4</v>
          </cell>
          <cell r="F29">
            <v>1.374298494652538E-3</v>
          </cell>
          <cell r="G29">
            <v>8.2767937547590015E-2</v>
          </cell>
          <cell r="H29">
            <v>2.0931883379422159E-2</v>
          </cell>
          <cell r="I29">
            <v>3.8732759630201632E-2</v>
          </cell>
          <cell r="J29">
            <v>3.3464873199922908E-4</v>
          </cell>
        </row>
        <row r="30">
          <cell r="B30" t="str">
            <v>SCOM-SWHSTG-CHPNGA</v>
          </cell>
          <cell r="C30" t="str">
            <v>VAR_ncap</v>
          </cell>
          <cell r="D30" t="str">
            <v>-</v>
          </cell>
          <cell r="E30">
            <v>6.6928617787908604E-3</v>
          </cell>
          <cell r="F30">
            <v>8.4471293929946597E-5</v>
          </cell>
          <cell r="G30">
            <v>8.7034672448459797E-5</v>
          </cell>
          <cell r="H30">
            <v>6.2518591253150999E-5</v>
          </cell>
          <cell r="I30">
            <v>1.00526144083995E-4</v>
          </cell>
          <cell r="J30">
            <v>2.41489273044296E-5</v>
          </cell>
        </row>
        <row r="31">
          <cell r="B31" t="str">
            <v>SCOM-SWHSTG-CHPNGA</v>
          </cell>
          <cell r="C31" t="str">
            <v>VAR_cap</v>
          </cell>
          <cell r="D31" t="str">
            <v>-</v>
          </cell>
          <cell r="E31">
            <v>6.6928617787908604E-3</v>
          </cell>
          <cell r="F31">
            <v>6.7657202614132975E-3</v>
          </cell>
          <cell r="G31">
            <v>6.8039042245854504E-3</v>
          </cell>
          <cell r="H31">
            <v>6.7661446861763718E-3</v>
          </cell>
          <cell r="I31">
            <v>4.9520199487803045E-3</v>
          </cell>
          <cell r="J31">
            <v>2.0901695320774349E-3</v>
          </cell>
        </row>
        <row r="32">
          <cell r="B32" t="str">
            <v>D-EH2</v>
          </cell>
          <cell r="C32" t="str">
            <v>VAR_fout</v>
          </cell>
          <cell r="D32" t="str">
            <v>EH2</v>
          </cell>
          <cell r="I32">
            <v>1.3591357426829069E-2</v>
          </cell>
          <cell r="J32">
            <v>1.2920616968162272E-2</v>
          </cell>
        </row>
        <row r="33">
          <cell r="B33" t="str">
            <v>D-EH2</v>
          </cell>
          <cell r="C33" t="str">
            <v>VAR_fin</v>
          </cell>
          <cell r="D33" t="str">
            <v>H2</v>
          </cell>
          <cell r="I33">
            <v>1.3728643865483911E-2</v>
          </cell>
          <cell r="J33">
            <v>1.3051128250668956E-2</v>
          </cell>
        </row>
        <row r="34">
          <cell r="B34" t="str">
            <v>D-EH2</v>
          </cell>
          <cell r="C34" t="str">
            <v>VAR_ncap</v>
          </cell>
          <cell r="D34" t="str">
            <v>-</v>
          </cell>
          <cell r="H34">
            <v>2.4707082959296399E-6</v>
          </cell>
          <cell r="I34">
            <v>2.2773250319958801E-3</v>
          </cell>
          <cell r="J34">
            <v>3.00107601764876E-5</v>
          </cell>
        </row>
        <row r="35">
          <cell r="B35" t="str">
            <v>D-EH2</v>
          </cell>
          <cell r="C35" t="str">
            <v>VAR_cap</v>
          </cell>
          <cell r="D35" t="str">
            <v>-</v>
          </cell>
          <cell r="H35">
            <v>2.4707082959296399E-6</v>
          </cell>
          <cell r="I35">
            <v>2.2870963701709401E-3</v>
          </cell>
          <cell r="J35">
            <v>2.31710713034743E-3</v>
          </cell>
        </row>
        <row r="36">
          <cell r="B36" t="str">
            <v>ITOT-EBAT</v>
          </cell>
          <cell r="C36" t="str">
            <v>VAR_fout</v>
          </cell>
          <cell r="D36" t="str">
            <v>AUX_ITOT-EBAT_OUT</v>
          </cell>
          <cell r="E36">
            <v>3.5250296478945382E-3</v>
          </cell>
          <cell r="F36">
            <v>3.5050133131747587E-3</v>
          </cell>
          <cell r="G36">
            <v>3.5171463520507116E-3</v>
          </cell>
          <cell r="H36">
            <v>0.11965953375178982</v>
          </cell>
          <cell r="I36">
            <v>0.24607688091850341</v>
          </cell>
          <cell r="J36">
            <v>0.48264932112600484</v>
          </cell>
        </row>
        <row r="37">
          <cell r="B37" t="str">
            <v>ITOT-EBAT</v>
          </cell>
          <cell r="C37" t="str">
            <v>VAR_fout</v>
          </cell>
          <cell r="D37" t="str">
            <v>ITOT_ELC</v>
          </cell>
          <cell r="E37">
            <v>3.5250296478945347E-3</v>
          </cell>
          <cell r="F37">
            <v>3.5050133131747561E-3</v>
          </cell>
          <cell r="G37">
            <v>3.5171463520507081E-3</v>
          </cell>
          <cell r="H37">
            <v>0.11965953375178971</v>
          </cell>
          <cell r="I37">
            <v>0.24607688091850316</v>
          </cell>
          <cell r="J37">
            <v>0.48264932112600467</v>
          </cell>
        </row>
        <row r="38">
          <cell r="B38" t="str">
            <v>ITOT-EBAT</v>
          </cell>
          <cell r="C38" t="str">
            <v>VAR_fin</v>
          </cell>
          <cell r="D38" t="str">
            <v>ITOT_ELC</v>
          </cell>
          <cell r="E38">
            <v>3.9295051772757226E-3</v>
          </cell>
          <cell r="F38">
            <v>3.9022042624564778E-3</v>
          </cell>
          <cell r="G38">
            <v>3.8937173480439653E-3</v>
          </cell>
          <cell r="H38">
            <v>0.13233018278938327</v>
          </cell>
          <cell r="I38">
            <v>0.27213022701252904</v>
          </cell>
          <cell r="J38">
            <v>0.5337473604275369</v>
          </cell>
        </row>
        <row r="39">
          <cell r="B39" t="str">
            <v>ITOT-EBAT</v>
          </cell>
          <cell r="C39" t="str">
            <v>VAR_fin</v>
          </cell>
          <cell r="D39" t="str">
            <v>AUX_ITOT-EBAT_IN</v>
          </cell>
          <cell r="E39">
            <v>3.9295051772757226E-3</v>
          </cell>
          <cell r="F39">
            <v>3.9022042624564778E-3</v>
          </cell>
          <cell r="G39">
            <v>3.8937173480439653E-3</v>
          </cell>
          <cell r="H39">
            <v>0.13233018278938327</v>
          </cell>
          <cell r="I39">
            <v>0.27213022701252904</v>
          </cell>
          <cell r="J39">
            <v>0.5337473604275369</v>
          </cell>
        </row>
        <row r="40">
          <cell r="B40" t="str">
            <v>ITOT-EBAT</v>
          </cell>
          <cell r="C40" t="str">
            <v>VAR_ncap</v>
          </cell>
          <cell r="D40" t="str">
            <v>-</v>
          </cell>
          <cell r="E40">
            <v>1.43706820049107E-3</v>
          </cell>
          <cell r="F40">
            <v>2.2823038487974101E-6</v>
          </cell>
          <cell r="G40">
            <v>6.1926732140032497E-6</v>
          </cell>
          <cell r="H40">
            <v>4.7954586095117997E-2</v>
          </cell>
          <cell r="I40">
            <v>0.106446405382998</v>
          </cell>
          <cell r="J40">
            <v>0.24588123176361601</v>
          </cell>
        </row>
        <row r="41">
          <cell r="B41" t="str">
            <v>ITOT-EBAT</v>
          </cell>
          <cell r="C41" t="str">
            <v>VAR_cap</v>
          </cell>
          <cell r="D41" t="str">
            <v>-</v>
          </cell>
          <cell r="E41">
            <v>1.4390343398289836E-3</v>
          </cell>
          <cell r="F41">
            <v>1.4405890464384446E-3</v>
          </cell>
          <cell r="G41">
            <v>1.4453973420752607E-3</v>
          </cell>
          <cell r="H41">
            <v>4.901193438826186E-2</v>
          </cell>
          <cell r="I41">
            <v>0.1861580266905821</v>
          </cell>
          <cell r="J41">
            <v>0.31176192638487249</v>
          </cell>
        </row>
        <row r="42">
          <cell r="B42" t="str">
            <v>EWSTINCCS</v>
          </cell>
          <cell r="C42" t="str">
            <v>VAR_fout</v>
          </cell>
          <cell r="D42" t="str">
            <v>ELC35</v>
          </cell>
          <cell r="I42">
            <v>1.596319608983104</v>
          </cell>
          <cell r="J42">
            <v>4.8957947499313033</v>
          </cell>
        </row>
        <row r="43">
          <cell r="B43" t="str">
            <v>EWSTINCCS</v>
          </cell>
          <cell r="C43" t="str">
            <v>VAR_fout</v>
          </cell>
          <cell r="D43" t="str">
            <v>CO2_O</v>
          </cell>
          <cell r="I43">
            <v>409.81851181502969</v>
          </cell>
          <cell r="J43">
            <v>1256.8832126586501</v>
          </cell>
        </row>
        <row r="44">
          <cell r="B44" t="str">
            <v>EWSTINCCS</v>
          </cell>
          <cell r="C44" t="str">
            <v>VAR_fout</v>
          </cell>
          <cell r="D44" t="str">
            <v>CO2</v>
          </cell>
          <cell r="I44">
            <v>-409.81851181502998</v>
          </cell>
          <cell r="J44">
            <v>-1256.8832126586501</v>
          </cell>
        </row>
        <row r="45">
          <cell r="B45" t="str">
            <v>EWSTINCCS</v>
          </cell>
          <cell r="C45" t="str">
            <v>VAR_fout</v>
          </cell>
          <cell r="D45" t="str">
            <v>CO2_E</v>
          </cell>
          <cell r="I45">
            <v>442.58961744945702</v>
          </cell>
          <cell r="J45">
            <v>1330.7742957365001</v>
          </cell>
        </row>
        <row r="46">
          <cell r="B46" t="str">
            <v>EWSTINCCS</v>
          </cell>
          <cell r="C46" t="str">
            <v>VAR_fin</v>
          </cell>
          <cell r="D46" t="str">
            <v>EWST</v>
          </cell>
          <cell r="I46">
            <v>4.7692846707915706</v>
          </cell>
          <cell r="J46">
            <v>14.340240255781287</v>
          </cell>
        </row>
        <row r="47">
          <cell r="B47" t="str">
            <v>EWSTINCCS</v>
          </cell>
          <cell r="C47" t="str">
            <v>VAR_ncap</v>
          </cell>
          <cell r="D47" t="str">
            <v>-</v>
          </cell>
          <cell r="I47">
            <v>9.8629412737821595E-2</v>
          </cell>
          <cell r="J47">
            <v>8.4014074114606901E-2</v>
          </cell>
        </row>
        <row r="48">
          <cell r="B48" t="str">
            <v>EWSTINCCS</v>
          </cell>
          <cell r="C48" t="str">
            <v>VAR_cap</v>
          </cell>
          <cell r="D48" t="str">
            <v>-</v>
          </cell>
          <cell r="I48">
            <v>9.8629412737821595E-2</v>
          </cell>
          <cell r="J48">
            <v>0.18264339714632585</v>
          </cell>
        </row>
        <row r="49">
          <cell r="B49" t="str">
            <v>D-RES_LTH</v>
          </cell>
          <cell r="C49" t="str">
            <v>VAR_fout</v>
          </cell>
          <cell r="D49" t="str">
            <v>RHNS_LTH_DH</v>
          </cell>
          <cell r="F49">
            <v>5.4494206819085053E-2</v>
          </cell>
          <cell r="G49">
            <v>3.1396638576644043E-3</v>
          </cell>
          <cell r="H49">
            <v>0.16251929928742756</v>
          </cell>
          <cell r="I49">
            <v>0.18756486403175521</v>
          </cell>
          <cell r="J49">
            <v>0.21885912346090125</v>
          </cell>
        </row>
        <row r="50">
          <cell r="B50" t="str">
            <v>D-RES_LTH</v>
          </cell>
          <cell r="C50" t="str">
            <v>VAR_fout</v>
          </cell>
          <cell r="D50" t="str">
            <v>RHEM_LTH_DH</v>
          </cell>
          <cell r="E50">
            <v>3.3978834453897351</v>
          </cell>
          <cell r="F50">
            <v>3.8270207024761849</v>
          </cell>
          <cell r="G50">
            <v>4.9487658471996054</v>
          </cell>
          <cell r="H50">
            <v>5.8636551532264498</v>
          </cell>
          <cell r="I50">
            <v>6.3626025521745371</v>
          </cell>
          <cell r="J50">
            <v>5.7730019155361179</v>
          </cell>
        </row>
        <row r="51">
          <cell r="B51" t="str">
            <v>D-RES_LTH</v>
          </cell>
          <cell r="C51" t="str">
            <v>VAR_fout</v>
          </cell>
          <cell r="D51" t="str">
            <v>RHES_LTH_DH</v>
          </cell>
          <cell r="E51">
            <v>3.1771862380494311</v>
          </cell>
          <cell r="F51">
            <v>3.5392063364834305</v>
          </cell>
          <cell r="G51">
            <v>1.596385454408487</v>
          </cell>
          <cell r="H51">
            <v>2.1446407188930676</v>
          </cell>
          <cell r="I51">
            <v>2.5101595867218913</v>
          </cell>
          <cell r="J51">
            <v>2.3949141700106802</v>
          </cell>
        </row>
        <row r="52">
          <cell r="B52" t="str">
            <v>D-RES_LTH</v>
          </cell>
          <cell r="C52" t="str">
            <v>VAR_fout</v>
          </cell>
          <cell r="D52" t="str">
            <v>RHSA_LTH</v>
          </cell>
          <cell r="E52">
            <v>1.7649559287059553</v>
          </cell>
          <cell r="F52">
            <v>1.8925883002533737</v>
          </cell>
          <cell r="G52">
            <v>1.6950231281406949</v>
          </cell>
          <cell r="H52">
            <v>2.5610443776885758</v>
          </cell>
          <cell r="I52">
            <v>3.1232196419094138</v>
          </cell>
          <cell r="J52">
            <v>3.7211779763339763</v>
          </cell>
        </row>
        <row r="53">
          <cell r="B53" t="str">
            <v>D-RES_LTH</v>
          </cell>
          <cell r="C53" t="str">
            <v>VAR_fout</v>
          </cell>
          <cell r="D53" t="str">
            <v>RHNM_LTH_DH</v>
          </cell>
          <cell r="F53">
            <v>0.35012880472597374</v>
          </cell>
          <cell r="G53">
            <v>5.7026326992900229E-2</v>
          </cell>
          <cell r="H53">
            <v>0.25239216420580352</v>
          </cell>
          <cell r="I53">
            <v>0.34601211688965439</v>
          </cell>
          <cell r="J53">
            <v>0.42909040898763701</v>
          </cell>
        </row>
        <row r="54">
          <cell r="B54" t="str">
            <v>D-RES_LTH</v>
          </cell>
          <cell r="C54" t="str">
            <v>VAR_fin</v>
          </cell>
          <cell r="D54" t="str">
            <v>LTH</v>
          </cell>
          <cell r="E54">
            <v>9.2187563600787747</v>
          </cell>
          <cell r="F54">
            <v>10.681426139629743</v>
          </cell>
          <cell r="G54">
            <v>9.1543204363523731</v>
          </cell>
          <cell r="H54">
            <v>12.069735906409933</v>
          </cell>
          <cell r="I54">
            <v>13.666920130457147</v>
          </cell>
          <cell r="J54">
            <v>13.57564388554044</v>
          </cell>
        </row>
        <row r="55">
          <cell r="B55" t="str">
            <v>D-RES_LTH</v>
          </cell>
          <cell r="C55" t="str">
            <v>VAR_ncap</v>
          </cell>
          <cell r="D55" t="str">
            <v>-</v>
          </cell>
          <cell r="E55">
            <v>0.62770645747949005</v>
          </cell>
          <cell r="F55">
            <v>1.07661759523588E-6</v>
          </cell>
          <cell r="G55">
            <v>5.8798562152693704E-7</v>
          </cell>
          <cell r="H55">
            <v>5.5127289299837301E-7</v>
          </cell>
          <cell r="I55">
            <v>2.8436606213853599E-3</v>
          </cell>
          <cell r="J55">
            <v>5.7020573719718198E-7</v>
          </cell>
        </row>
        <row r="56">
          <cell r="B56" t="str">
            <v>D-RES_LTH</v>
          </cell>
          <cell r="C56" t="str">
            <v>VAR_cap</v>
          </cell>
          <cell r="D56" t="str">
            <v>-</v>
          </cell>
          <cell r="E56">
            <v>0.62770645747949005</v>
          </cell>
          <cell r="F56">
            <v>0.62770753409708502</v>
          </cell>
          <cell r="G56">
            <v>0.62770812208270599</v>
          </cell>
          <cell r="H56">
            <v>0.62770867335559899</v>
          </cell>
          <cell r="I56">
            <v>0.63056380270349799</v>
          </cell>
          <cell r="J56">
            <v>0.63056437290923495</v>
          </cell>
        </row>
        <row r="57">
          <cell r="B57" t="str">
            <v>RHES-SHSTG-CHPNGA</v>
          </cell>
          <cell r="C57" t="str">
            <v>VAR_fout</v>
          </cell>
          <cell r="D57" t="str">
            <v>RHES_LTH_CHPNGA</v>
          </cell>
          <cell r="E57">
            <v>2.0970049286373672E-2</v>
          </cell>
          <cell r="F57">
            <v>5.4668049576442432E-4</v>
          </cell>
          <cell r="G57">
            <v>9.3287006508309244E-3</v>
          </cell>
          <cell r="H57">
            <v>1.2333039254694544E-3</v>
          </cell>
          <cell r="I57">
            <v>2.4979901599254803E-3</v>
          </cell>
          <cell r="J57">
            <v>7.0153597419261079E-4</v>
          </cell>
        </row>
        <row r="58">
          <cell r="B58" t="str">
            <v>RHES-SHSTG-CHPNGA</v>
          </cell>
          <cell r="C58" t="str">
            <v>VAR_fout</v>
          </cell>
          <cell r="D58" t="str">
            <v>AUX_RES_CHPNGA_OUT</v>
          </cell>
          <cell r="E58">
            <v>2.0970049286373724E-2</v>
          </cell>
          <cell r="F58">
            <v>5.4631628490782013E-4</v>
          </cell>
          <cell r="G58">
            <v>9.3189933660746075E-3</v>
          </cell>
          <cell r="H58">
            <v>1.2333039254694544E-3</v>
          </cell>
          <cell r="I58">
            <v>2.4979901599254889E-3</v>
          </cell>
          <cell r="J58">
            <v>7.0153597419261155E-4</v>
          </cell>
        </row>
        <row r="59">
          <cell r="B59" t="str">
            <v>RHES-SHSTG-CHPNGA</v>
          </cell>
          <cell r="C59" t="str">
            <v>VAR_fin</v>
          </cell>
          <cell r="D59" t="str">
            <v>RHES_LTH_CHPNGA</v>
          </cell>
          <cell r="E59">
            <v>2.8016403885523688E-2</v>
          </cell>
          <cell r="F59">
            <v>7.1941425115169962E-4</v>
          </cell>
          <cell r="G59">
            <v>1.2022948555261989E-2</v>
          </cell>
          <cell r="H59">
            <v>1.5486721780613101E-3</v>
          </cell>
          <cell r="I59">
            <v>2.9458961916443089E-3</v>
          </cell>
          <cell r="J59">
            <v>5.9625724175222674E-4</v>
          </cell>
        </row>
        <row r="60">
          <cell r="B60" t="str">
            <v>RHES-SHSTG-CHPNGA</v>
          </cell>
          <cell r="C60" t="str">
            <v>VAR_fin</v>
          </cell>
          <cell r="D60" t="str">
            <v>AUX_RES_CHPNGA_IN</v>
          </cell>
          <cell r="E60">
            <v>2.8016403885523688E-2</v>
          </cell>
          <cell r="F60">
            <v>7.1941425115169962E-4</v>
          </cell>
          <cell r="G60">
            <v>1.2022948555261989E-2</v>
          </cell>
          <cell r="H60">
            <v>1.5486721780613101E-3</v>
          </cell>
          <cell r="I60">
            <v>2.9458961916443089E-3</v>
          </cell>
          <cell r="J60">
            <v>5.9625724175222674E-4</v>
          </cell>
        </row>
        <row r="61">
          <cell r="B61" t="str">
            <v>RHES-SHSTG-CHPNGA</v>
          </cell>
          <cell r="C61" t="str">
            <v>VAR_ncap</v>
          </cell>
          <cell r="D61" t="str">
            <v>-</v>
          </cell>
          <cell r="E61">
            <v>6.8066998082267696E-3</v>
          </cell>
          <cell r="F61">
            <v>9.1630260750277695E-5</v>
          </cell>
          <cell r="G61">
            <v>7.5638785867593504E-5</v>
          </cell>
          <cell r="H61">
            <v>5.72597346741721E-5</v>
          </cell>
          <cell r="I61">
            <v>1.3516562849606199E-4</v>
          </cell>
          <cell r="J61">
            <v>5.0825408289298897E-5</v>
          </cell>
        </row>
        <row r="62">
          <cell r="B62" t="str">
            <v>RHES-SHSTG-CHPNGA</v>
          </cell>
          <cell r="C62" t="str">
            <v>VAR_cap</v>
          </cell>
          <cell r="D62" t="str">
            <v>-</v>
          </cell>
          <cell r="E62">
            <v>6.8066998082267696E-3</v>
          </cell>
          <cell r="F62">
            <v>6.8866608482700178E-3</v>
          </cell>
          <cell r="G62">
            <v>6.9270484142833783E-3</v>
          </cell>
          <cell r="H62">
            <v>6.8736604790606923E-3</v>
          </cell>
          <cell r="I62">
            <v>5.1522304455582577E-3</v>
          </cell>
          <cell r="J62">
            <v>2.2242390088381648E-3</v>
          </cell>
        </row>
        <row r="63">
          <cell r="B63" t="str">
            <v>RHNS-CHPWOD</v>
          </cell>
          <cell r="C63" t="str">
            <v>VAR_fout</v>
          </cell>
          <cell r="D63" t="str">
            <v>RHNS_LTH_CHPWOD</v>
          </cell>
          <cell r="H63">
            <v>4.3020039838561714E-3</v>
          </cell>
          <cell r="I63">
            <v>1.2107299655690336E-2</v>
          </cell>
          <cell r="J63">
            <v>5.1039460939201449E-3</v>
          </cell>
        </row>
        <row r="64">
          <cell r="B64" t="str">
            <v>RHNS-CHPWOD</v>
          </cell>
          <cell r="C64" t="str">
            <v>VAR_fout</v>
          </cell>
          <cell r="D64" t="str">
            <v>RHNS_KEV_WOD_ELC_CHP</v>
          </cell>
          <cell r="H64">
            <v>1.5935898881646519E-3</v>
          </cell>
          <cell r="I64">
            <v>4.6782177192776922E-3</v>
          </cell>
          <cell r="J64">
            <v>2.0536403646815725E-3</v>
          </cell>
        </row>
        <row r="65">
          <cell r="B65" t="str">
            <v>RHNS-CHPWOD</v>
          </cell>
          <cell r="C65" t="str">
            <v>VAR_fin</v>
          </cell>
          <cell r="D65" t="str">
            <v>RWOD</v>
          </cell>
          <cell r="H65">
            <v>7.4715949509123972E-3</v>
          </cell>
          <cell r="I65">
            <v>1.9704968507300611E-2</v>
          </cell>
          <cell r="J65">
            <v>8.3981246843503124E-3</v>
          </cell>
        </row>
        <row r="66">
          <cell r="B66" t="str">
            <v>RHNS-CHPWOD</v>
          </cell>
          <cell r="C66" t="str">
            <v>VAR_ncap</v>
          </cell>
          <cell r="D66" t="str">
            <v>-</v>
          </cell>
          <cell r="H66">
            <v>1.41757626924799E-4</v>
          </cell>
          <cell r="I66">
            <v>1.5247621202892401E-4</v>
          </cell>
          <cell r="J66">
            <v>1.73762394380701E-6</v>
          </cell>
        </row>
        <row r="67">
          <cell r="B67" t="str">
            <v>RHNS-CHPWOD</v>
          </cell>
          <cell r="C67" t="str">
            <v>VAR_cap</v>
          </cell>
          <cell r="D67" t="str">
            <v>-</v>
          </cell>
          <cell r="H67">
            <v>1.41757626924799E-4</v>
          </cell>
          <cell r="I67">
            <v>4.1570892683375144E-4</v>
          </cell>
          <cell r="J67">
            <v>1.8268595234868296E-4</v>
          </cell>
        </row>
        <row r="68">
          <cell r="B68" t="str">
            <v>D-ICOA</v>
          </cell>
          <cell r="C68" t="str">
            <v>VAR_fout</v>
          </cell>
          <cell r="D68" t="str">
            <v>ICOA</v>
          </cell>
          <cell r="E68">
            <v>3.560084694924718</v>
          </cell>
          <cell r="F68">
            <v>3.4647372887981449</v>
          </cell>
          <cell r="G68">
            <v>3.2185923772086182</v>
          </cell>
          <cell r="H68">
            <v>6.4833666496820312E-4</v>
          </cell>
          <cell r="I68">
            <v>1.0123174128948299E-3</v>
          </cell>
          <cell r="J68">
            <v>2.4086008422096807E-5</v>
          </cell>
        </row>
        <row r="69">
          <cell r="B69" t="str">
            <v>D-ICOA</v>
          </cell>
          <cell r="C69" t="str">
            <v>VAR_fout</v>
          </cell>
          <cell r="D69" t="str">
            <v>CO2</v>
          </cell>
          <cell r="E69">
            <v>330.019851219521</v>
          </cell>
          <cell r="F69">
            <v>321.18114667158801</v>
          </cell>
          <cell r="G69">
            <v>298.36351336723902</v>
          </cell>
          <cell r="H69">
            <v>6.0100808842552401E-2</v>
          </cell>
          <cell r="I69">
            <v>9.3841824175350794E-2</v>
          </cell>
          <cell r="J69">
            <v>2.2327729807283701E-3</v>
          </cell>
        </row>
        <row r="70">
          <cell r="B70" t="str">
            <v>D-ICOA</v>
          </cell>
          <cell r="C70" t="str">
            <v>VAR_fin</v>
          </cell>
          <cell r="D70" t="str">
            <v>COA</v>
          </cell>
          <cell r="E70">
            <v>3.560084694924718</v>
          </cell>
          <cell r="F70">
            <v>3.4647372887981449</v>
          </cell>
          <cell r="G70">
            <v>3.2185923772086182</v>
          </cell>
          <cell r="H70">
            <v>6.4833666496820312E-4</v>
          </cell>
          <cell r="I70">
            <v>1.0123174128948299E-3</v>
          </cell>
          <cell r="J70">
            <v>2.4086008422096807E-5</v>
          </cell>
        </row>
        <row r="71">
          <cell r="B71" t="str">
            <v>RHNM-SHSTG-CHPWOD</v>
          </cell>
          <cell r="C71" t="str">
            <v>VAR_fout</v>
          </cell>
          <cell r="D71" t="str">
            <v>RHNM_LTH_CHPWOD</v>
          </cell>
          <cell r="E71">
            <v>1.1440256748064361E-3</v>
          </cell>
          <cell r="F71">
            <v>8.193114544432637E-4</v>
          </cell>
          <cell r="G71">
            <v>4.597906378366893E-4</v>
          </cell>
          <cell r="H71">
            <v>1.3882646575867591E-3</v>
          </cell>
          <cell r="I71">
            <v>1.366287530348911E-2</v>
          </cell>
          <cell r="J71">
            <v>1.0052494347906766E-2</v>
          </cell>
        </row>
        <row r="72">
          <cell r="B72" t="str">
            <v>RHNM-SHSTG-CHPWOD</v>
          </cell>
          <cell r="C72" t="str">
            <v>VAR_fout</v>
          </cell>
          <cell r="D72" t="str">
            <v>AUX_RNM-CHPWOD_OUT</v>
          </cell>
          <cell r="E72">
            <v>1.1440256748064391E-3</v>
          </cell>
          <cell r="F72">
            <v>8.1876561070279687E-4</v>
          </cell>
          <cell r="G72">
            <v>4.5931218764123076E-4</v>
          </cell>
          <cell r="H72">
            <v>1.3882646575867591E-3</v>
          </cell>
          <cell r="I72">
            <v>1.3662875303489145E-2</v>
          </cell>
          <cell r="J72">
            <v>1.0052494347906777E-2</v>
          </cell>
        </row>
        <row r="73">
          <cell r="B73" t="str">
            <v>RHNM-SHSTG-CHPWOD</v>
          </cell>
          <cell r="C73" t="str">
            <v>VAR_fin</v>
          </cell>
          <cell r="D73" t="str">
            <v>RHNM_LTH_CHPWOD</v>
          </cell>
          <cell r="E73">
            <v>8.9312809895051497E-4</v>
          </cell>
          <cell r="F73">
            <v>5.7858579847824777E-4</v>
          </cell>
          <cell r="G73">
            <v>3.6633537061144688E-4</v>
          </cell>
          <cell r="H73">
            <v>1.7423730932430589E-3</v>
          </cell>
          <cell r="I73">
            <v>1.608104567097943E-2</v>
          </cell>
          <cell r="J73">
            <v>1.1176746087475034E-2</v>
          </cell>
        </row>
        <row r="74">
          <cell r="B74" t="str">
            <v>RHNM-SHSTG-CHPWOD</v>
          </cell>
          <cell r="C74" t="str">
            <v>VAR_fin</v>
          </cell>
          <cell r="D74" t="str">
            <v>AUX_RNM-CHPWOD_IN</v>
          </cell>
          <cell r="E74">
            <v>8.9312809895051497E-4</v>
          </cell>
          <cell r="F74">
            <v>5.7858579847824777E-4</v>
          </cell>
          <cell r="G74">
            <v>3.6633537061144688E-4</v>
          </cell>
          <cell r="H74">
            <v>1.7423730932430589E-3</v>
          </cell>
          <cell r="I74">
            <v>1.608104567097943E-2</v>
          </cell>
          <cell r="J74">
            <v>1.1176746087475034E-2</v>
          </cell>
        </row>
        <row r="75">
          <cell r="B75" t="str">
            <v>RHNM-SHSTG-CHPWOD</v>
          </cell>
          <cell r="C75" t="str">
            <v>VAR_ncap</v>
          </cell>
          <cell r="D75" t="str">
            <v>-</v>
          </cell>
          <cell r="E75">
            <v>6.7617022033467696E-3</v>
          </cell>
          <cell r="F75">
            <v>1.5189602560675201E-4</v>
          </cell>
          <cell r="G75">
            <v>2.0761329089818601E-4</v>
          </cell>
          <cell r="H75">
            <v>2.27537350462991E-4</v>
          </cell>
          <cell r="I75">
            <v>1.7305203316119401E-3</v>
          </cell>
          <cell r="J75">
            <v>6.95823374548809E-4</v>
          </cell>
        </row>
        <row r="76">
          <cell r="B76" t="str">
            <v>RHNM-SHSTG-CHPWOD</v>
          </cell>
          <cell r="C76" t="str">
            <v>VAR_cap</v>
          </cell>
          <cell r="D76" t="str">
            <v>-</v>
          </cell>
          <cell r="E76">
            <v>6.7617022033467696E-3</v>
          </cell>
          <cell r="F76">
            <v>6.8946063717321079E-3</v>
          </cell>
          <cell r="G76">
            <v>7.0516734579313903E-3</v>
          </cell>
          <cell r="H76">
            <v>7.2054604344860499E-3</v>
          </cell>
          <cell r="I76">
            <v>1.2058526100437986E-2</v>
          </cell>
          <cell r="J76">
            <v>6.2084900659343653E-3</v>
          </cell>
        </row>
        <row r="77">
          <cell r="B77" t="str">
            <v>CHPWSTCCS</v>
          </cell>
          <cell r="C77" t="str">
            <v>VAR_fout</v>
          </cell>
          <cell r="D77" t="str">
            <v>ELC35</v>
          </cell>
          <cell r="I77">
            <v>0.26702446241973993</v>
          </cell>
          <cell r="J77">
            <v>0.78409145432848737</v>
          </cell>
        </row>
        <row r="78">
          <cell r="B78" t="str">
            <v>CHPWSTCCS</v>
          </cell>
          <cell r="C78" t="str">
            <v>VAR_fout</v>
          </cell>
          <cell r="D78" t="str">
            <v>CO2_O</v>
          </cell>
          <cell r="I78">
            <v>457.14721359849261</v>
          </cell>
          <cell r="J78">
            <v>1199.2533591833051</v>
          </cell>
        </row>
        <row r="79">
          <cell r="B79" t="str">
            <v>CHPWSTCCS</v>
          </cell>
          <cell r="C79" t="str">
            <v>VAR_fout</v>
          </cell>
          <cell r="D79" t="str">
            <v>CO2</v>
          </cell>
          <cell r="I79">
            <v>-457.14721359849199</v>
          </cell>
          <cell r="J79">
            <v>-1199.2533591833101</v>
          </cell>
        </row>
        <row r="80">
          <cell r="B80" t="str">
            <v>CHPWSTCCS</v>
          </cell>
          <cell r="C80" t="str">
            <v>VAR_fout</v>
          </cell>
          <cell r="D80" t="str">
            <v>LTH</v>
          </cell>
          <cell r="I80">
            <v>2.5054022975217101</v>
          </cell>
          <cell r="J80">
            <v>6.9470502853504019</v>
          </cell>
        </row>
        <row r="81">
          <cell r="B81" t="str">
            <v>CHPWSTCCS</v>
          </cell>
          <cell r="C81" t="str">
            <v>VAR_fout</v>
          </cell>
          <cell r="D81" t="str">
            <v>CO2_E</v>
          </cell>
          <cell r="I81">
            <v>513.64855460504805</v>
          </cell>
          <cell r="J81">
            <v>1347.47568447562</v>
          </cell>
        </row>
        <row r="82">
          <cell r="B82" t="str">
            <v>CHPWSTCCS</v>
          </cell>
          <cell r="C82" t="str">
            <v>VAR_fin</v>
          </cell>
          <cell r="D82" t="str">
            <v>EWST</v>
          </cell>
          <cell r="I82">
            <v>5.5350059763475032</v>
          </cell>
          <cell r="J82">
            <v>14.520212117194216</v>
          </cell>
        </row>
        <row r="83">
          <cell r="B83" t="str">
            <v>CHPWSTCCS</v>
          </cell>
          <cell r="C83" t="str">
            <v>VAR_ncap</v>
          </cell>
          <cell r="D83" t="str">
            <v>-</v>
          </cell>
          <cell r="I83">
            <v>2.7134198680859398E-2</v>
          </cell>
          <cell r="J83">
            <v>2.1716498025585899E-2</v>
          </cell>
        </row>
        <row r="84">
          <cell r="B84" t="str">
            <v>CHPWSTCCS</v>
          </cell>
          <cell r="C84" t="str">
            <v>VAR_cap</v>
          </cell>
          <cell r="D84" t="str">
            <v>-</v>
          </cell>
          <cell r="I84">
            <v>2.7134198680859398E-2</v>
          </cell>
          <cell r="J84">
            <v>4.8850605742480062E-2</v>
          </cell>
        </row>
        <row r="85">
          <cell r="B85" t="str">
            <v>D-ENGA</v>
          </cell>
          <cell r="C85" t="str">
            <v>VAR_fout</v>
          </cell>
          <cell r="D85" t="str">
            <v>CO2</v>
          </cell>
          <cell r="E85">
            <v>313.09093127149202</v>
          </cell>
          <cell r="F85">
            <v>162.141045155657</v>
          </cell>
          <cell r="G85">
            <v>38.719797863348099</v>
          </cell>
          <cell r="J85"/>
        </row>
        <row r="86">
          <cell r="B86" t="str">
            <v>D-ENGA</v>
          </cell>
          <cell r="C86" t="str">
            <v>VAR_fout</v>
          </cell>
          <cell r="D86" t="str">
            <v>ENGA</v>
          </cell>
          <cell r="E86">
            <v>5.743697804112295</v>
          </cell>
          <cell r="F86">
            <v>2.8662448451457556</v>
          </cell>
          <cell r="G86">
            <v>0.69215096297444556</v>
          </cell>
          <cell r="I86">
            <v>1.3963979229276866E-4</v>
          </cell>
          <cell r="J86">
            <v>7.3845031518756359E-3</v>
          </cell>
        </row>
        <row r="87">
          <cell r="B87" t="str">
            <v>D-ENGA</v>
          </cell>
          <cell r="C87" t="str">
            <v>VAR_fout</v>
          </cell>
          <cell r="D87" t="str">
            <v>EH2</v>
          </cell>
          <cell r="I87">
            <v>3.9618653830539575E-5</v>
          </cell>
          <cell r="J87">
            <v>1.7862703742402104E-4</v>
          </cell>
        </row>
        <row r="88">
          <cell r="B88" t="str">
            <v>D-ENGA</v>
          </cell>
          <cell r="C88" t="str">
            <v>VAR_fin</v>
          </cell>
          <cell r="D88" t="str">
            <v>NGA</v>
          </cell>
          <cell r="E88">
            <v>5.5512576466576595</v>
          </cell>
          <cell r="F88">
            <v>2.8748412261641234</v>
          </cell>
          <cell r="G88">
            <v>0.68652123871184556</v>
          </cell>
          <cell r="J88"/>
        </row>
        <row r="89">
          <cell r="B89" t="str">
            <v>D-ENGA</v>
          </cell>
          <cell r="C89" t="str">
            <v>VAR_fin</v>
          </cell>
          <cell r="D89" t="str">
            <v>BNGA</v>
          </cell>
          <cell r="E89">
            <v>0.21078908696756249</v>
          </cell>
          <cell r="F89">
            <v>6.6644833695292871E-4</v>
          </cell>
          <cell r="G89">
            <v>7.8493607260033058E-3</v>
          </cell>
          <cell r="I89">
            <v>1.1374701724496679E-4</v>
          </cell>
          <cell r="J89">
            <v>7.3608734488646559E-3</v>
          </cell>
        </row>
        <row r="90">
          <cell r="B90" t="str">
            <v>D-ENGA</v>
          </cell>
          <cell r="C90" t="str">
            <v>VAR_fin</v>
          </cell>
          <cell r="D90" t="str">
            <v>H2</v>
          </cell>
          <cell r="I90">
            <v>7.0685746304159034E-6</v>
          </cell>
          <cell r="J90">
            <v>1.5592504504170131E-4</v>
          </cell>
        </row>
        <row r="91">
          <cell r="B91" t="str">
            <v>D-ENGA</v>
          </cell>
          <cell r="C91" t="str">
            <v>VAR_ncap</v>
          </cell>
          <cell r="D91" t="str">
            <v>-</v>
          </cell>
          <cell r="E91">
            <v>7.2771451537533299E-6</v>
          </cell>
          <cell r="F91">
            <v>9.8811051002751409E-7</v>
          </cell>
          <cell r="G91">
            <v>1.13019183559028E-6</v>
          </cell>
          <cell r="H91">
            <v>1.4314662948122799E-6</v>
          </cell>
          <cell r="I91">
            <v>9.1062386277473505E-6</v>
          </cell>
          <cell r="J91">
            <v>8.4447557631890194E-6</v>
          </cell>
        </row>
        <row r="92">
          <cell r="B92" t="str">
            <v>D-ENGA</v>
          </cell>
          <cell r="C92" t="str">
            <v>VAR_cap</v>
          </cell>
          <cell r="D92" t="str">
            <v>-</v>
          </cell>
          <cell r="E92">
            <v>1.0275192716861339</v>
          </cell>
          <cell r="F92">
            <v>1.027520259796644</v>
          </cell>
          <cell r="G92">
            <v>1.0275213899884794</v>
          </cell>
          <cell r="H92">
            <v>1.0275228214547742</v>
          </cell>
          <cell r="I92">
            <v>1.0275350072627196</v>
          </cell>
          <cell r="J92">
            <v>0.72470813879226281</v>
          </cell>
        </row>
        <row r="93">
          <cell r="B93" t="str">
            <v>D-ILFO</v>
          </cell>
          <cell r="C93" t="str">
            <v>VAR_fout</v>
          </cell>
          <cell r="D93" t="str">
            <v>CO2</v>
          </cell>
          <cell r="E93">
            <v>690.33262529821604</v>
          </cell>
          <cell r="F93">
            <v>659.57743997114596</v>
          </cell>
          <cell r="G93">
            <v>599.68894110040605</v>
          </cell>
          <cell r="H93">
            <v>512.36136289772503</v>
          </cell>
          <cell r="I93">
            <v>215.03374990775799</v>
          </cell>
          <cell r="J93">
            <v>1.28846872122095E-3</v>
          </cell>
        </row>
        <row r="94">
          <cell r="B94" t="str">
            <v>D-ILFO</v>
          </cell>
          <cell r="C94" t="str">
            <v>VAR_fout</v>
          </cell>
          <cell r="D94" t="str">
            <v>ILFO</v>
          </cell>
          <cell r="E94">
            <v>9.2103563900306753</v>
          </cell>
          <cell r="F94">
            <v>8.8000234471520518</v>
          </cell>
          <cell r="G94">
            <v>8.001228623462838</v>
          </cell>
          <cell r="H94">
            <v>7.071686569927917</v>
          </cell>
          <cell r="I94">
            <v>3.1047394755245863</v>
          </cell>
          <cell r="J94">
            <v>0.23579733869122654</v>
          </cell>
        </row>
        <row r="95">
          <cell r="B95" t="str">
            <v>D-ILFO</v>
          </cell>
          <cell r="C95" t="str">
            <v>VAR_fin</v>
          </cell>
          <cell r="D95" t="str">
            <v>LFO</v>
          </cell>
          <cell r="E95">
            <v>9.3667927448875954</v>
          </cell>
          <cell r="F95">
            <v>8.9494903659585674</v>
          </cell>
          <cell r="G95">
            <v>8.1368920095034838</v>
          </cell>
          <cell r="H95">
            <v>6.9519859280559713</v>
          </cell>
          <cell r="I95">
            <v>2.9176899580428506</v>
          </cell>
          <cell r="J95">
            <v>1.7482614941939651E-5</v>
          </cell>
        </row>
        <row r="96">
          <cell r="B96" t="str">
            <v>D-ILFO</v>
          </cell>
          <cell r="C96" t="str">
            <v>VAR_fin</v>
          </cell>
          <cell r="D96" t="str">
            <v>BDS</v>
          </cell>
          <cell r="G96">
            <v>2.3613697739633546E-4</v>
          </cell>
          <cell r="H96">
            <v>0.23981642040029447</v>
          </cell>
          <cell r="I96">
            <v>0.23982308568273117</v>
          </cell>
          <cell r="J96">
            <v>0.23982752188347337</v>
          </cell>
        </row>
        <row r="97">
          <cell r="B97" t="str">
            <v>HPLNGA</v>
          </cell>
          <cell r="C97" t="str">
            <v>VAR_fout</v>
          </cell>
          <cell r="D97" t="str">
            <v>LTH</v>
          </cell>
          <cell r="E97">
            <v>1.7329349686545676</v>
          </cell>
          <cell r="F97">
            <v>2.429171913023584</v>
          </cell>
          <cell r="G97">
            <v>0.53915505233381111</v>
          </cell>
          <cell r="J97"/>
        </row>
        <row r="98">
          <cell r="B98" t="str">
            <v>HPLNGA</v>
          </cell>
          <cell r="C98" t="str">
            <v>VAR_fout</v>
          </cell>
          <cell r="D98" t="str">
            <v>CO2_E</v>
          </cell>
          <cell r="E98">
            <v>114.385814304018</v>
          </cell>
          <cell r="F98">
            <v>160.34231657947399</v>
          </cell>
          <cell r="G98">
            <v>35.588000018956102</v>
          </cell>
          <cell r="J98"/>
        </row>
        <row r="99">
          <cell r="B99" t="str">
            <v>HPLNGA</v>
          </cell>
          <cell r="C99" t="str">
            <v>VAR_fin</v>
          </cell>
          <cell r="D99" t="str">
            <v>ENGA</v>
          </cell>
          <cell r="E99">
            <v>2.0281172748939338</v>
          </cell>
          <cell r="F99">
            <v>2.8429488755225907</v>
          </cell>
          <cell r="G99">
            <v>0.63099290813751929</v>
          </cell>
          <cell r="J99"/>
        </row>
        <row r="100">
          <cell r="B100" t="str">
            <v>HPLNGA</v>
          </cell>
          <cell r="C100" t="str">
            <v>VAR_ncap</v>
          </cell>
          <cell r="D100" t="str">
            <v>-</v>
          </cell>
          <cell r="E100">
            <v>6.6469288574507399E-6</v>
          </cell>
          <cell r="F100">
            <v>6.6568140206456898E-6</v>
          </cell>
          <cell r="G100">
            <v>6.0379820371400099E-6</v>
          </cell>
          <cell r="H100">
            <v>4.2510340212350297E-6</v>
          </cell>
          <cell r="I100">
            <v>6.5431270894570297E-6</v>
          </cell>
          <cell r="J100">
            <v>5.1888385503757604E-6</v>
          </cell>
        </row>
        <row r="101">
          <cell r="B101" t="str">
            <v>HPLNGA</v>
          </cell>
          <cell r="C101" t="str">
            <v>VAR_cap</v>
          </cell>
          <cell r="D101" t="str">
            <v>-</v>
          </cell>
          <cell r="E101">
            <v>0.30947402136845442</v>
          </cell>
          <cell r="F101">
            <v>0.30832815399886809</v>
          </cell>
          <cell r="G101">
            <v>6.9065882686439206E-2</v>
          </cell>
          <cell r="H101">
            <v>3.736288147448974E-5</v>
          </cell>
          <cell r="I101">
            <v>1.6890679661241942E-6</v>
          </cell>
          <cell r="J101">
            <v>9.3161731046276003E-6</v>
          </cell>
        </row>
        <row r="102">
          <cell r="B102" t="str">
            <v>G-INTC-IMP00-AT</v>
          </cell>
          <cell r="C102" t="str">
            <v>VAR_fout</v>
          </cell>
          <cell r="D102" t="str">
            <v>ELC</v>
          </cell>
          <cell r="E102">
            <v>15.013832461361549</v>
          </cell>
          <cell r="F102">
            <v>5.2949950970727411E-2</v>
          </cell>
          <cell r="G102">
            <v>3.3275048685710976E-2</v>
          </cell>
          <cell r="H102">
            <v>2.1625234174090454E-2</v>
          </cell>
          <cell r="I102">
            <v>1.0500592290962667E-2</v>
          </cell>
          <cell r="J102">
            <v>6.4965324043206447</v>
          </cell>
        </row>
        <row r="103">
          <cell r="B103" t="str">
            <v>G-INTC-IMP00-AT</v>
          </cell>
          <cell r="C103" t="str">
            <v>VAR_fin</v>
          </cell>
          <cell r="D103" t="str">
            <v>ELC_I-AT</v>
          </cell>
          <cell r="E103">
            <v>15.013832461361549</v>
          </cell>
          <cell r="F103">
            <v>5.2949950970727411E-2</v>
          </cell>
          <cell r="G103">
            <v>3.3275048685710976E-2</v>
          </cell>
          <cell r="H103">
            <v>2.1625234174090454E-2</v>
          </cell>
          <cell r="I103">
            <v>1.0500592290962667E-2</v>
          </cell>
          <cell r="J103">
            <v>6.4965324043206447</v>
          </cell>
        </row>
        <row r="104">
          <cell r="B104" t="str">
            <v>G-INTC-IMP00-AT</v>
          </cell>
          <cell r="C104" t="str">
            <v>VAR_ncap</v>
          </cell>
          <cell r="D104" t="str">
            <v>-</v>
          </cell>
          <cell r="E104">
            <v>4.33498762226199E-6</v>
          </cell>
          <cell r="F104">
            <v>4.1037695031282302E-6</v>
          </cell>
          <cell r="G104">
            <v>7.5860184043581197E-6</v>
          </cell>
          <cell r="H104">
            <v>7.05400833919566E-6</v>
          </cell>
          <cell r="I104">
            <v>0.74188313966927899</v>
          </cell>
          <cell r="J104">
            <v>1.07450643487307</v>
          </cell>
        </row>
        <row r="105">
          <cell r="B105" t="str">
            <v>G-INTC-IMP00-AT</v>
          </cell>
          <cell r="C105" t="str">
            <v>VAR_cap</v>
          </cell>
          <cell r="D105" t="str">
            <v>-</v>
          </cell>
          <cell r="E105">
            <v>0.56501784004143696</v>
          </cell>
          <cell r="F105">
            <v>4.9133060126298478E-3</v>
          </cell>
          <cell r="G105">
            <v>4.8968689449100378E-3</v>
          </cell>
          <cell r="H105">
            <v>4.8970989341157178E-3</v>
          </cell>
          <cell r="I105">
            <v>4.8989421469687322E-3</v>
          </cell>
          <cell r="J105">
            <v>1.19951468949742</v>
          </cell>
        </row>
        <row r="106">
          <cell r="B106" t="str">
            <v>CHPWST</v>
          </cell>
          <cell r="C106" t="str">
            <v>VAR_fout</v>
          </cell>
          <cell r="D106" t="str">
            <v>ELC35</v>
          </cell>
          <cell r="E106">
            <v>1.4349634399625151</v>
          </cell>
          <cell r="F106">
            <v>1.3082535687313761</v>
          </cell>
          <cell r="G106">
            <v>1.3429886845796271</v>
          </cell>
          <cell r="H106">
            <v>1.3639758641361006</v>
          </cell>
          <cell r="I106">
            <v>1.1219491096602192</v>
          </cell>
          <cell r="J106">
            <v>0.55350307393135534</v>
          </cell>
        </row>
        <row r="107">
          <cell r="B107" t="str">
            <v>CHPWST</v>
          </cell>
          <cell r="C107" t="str">
            <v>VAR_fout</v>
          </cell>
          <cell r="D107" t="str">
            <v>LTH</v>
          </cell>
          <cell r="E107">
            <v>14.461293934727083</v>
          </cell>
          <cell r="F107">
            <v>13.139207441512719</v>
          </cell>
          <cell r="G107">
            <v>13.418573940005864</v>
          </cell>
          <cell r="H107">
            <v>13.510643508245217</v>
          </cell>
          <cell r="I107">
            <v>10.52687776832445</v>
          </cell>
          <cell r="J107">
            <v>4.9040372350318089</v>
          </cell>
        </row>
        <row r="108">
          <cell r="B108" t="str">
            <v>CHPWST</v>
          </cell>
          <cell r="C108" t="str">
            <v>VAR_fout</v>
          </cell>
          <cell r="D108" t="str">
            <v>CO2_E</v>
          </cell>
          <cell r="E108">
            <v>2843.2621969912502</v>
          </cell>
          <cell r="F108">
            <v>2592.19699433595</v>
          </cell>
          <cell r="G108">
            <v>2661.0217734550802</v>
          </cell>
          <cell r="H108">
            <v>2702.6061459851198</v>
          </cell>
          <cell r="I108">
            <v>2223.0500106178401</v>
          </cell>
          <cell r="J108">
            <v>1096.7208795706899</v>
          </cell>
        </row>
        <row r="109">
          <cell r="B109" t="str">
            <v>CHPWST</v>
          </cell>
          <cell r="C109" t="str">
            <v>VAR_fin</v>
          </cell>
          <cell r="D109" t="str">
            <v>EWST</v>
          </cell>
          <cell r="E109">
            <v>30.638601260681572</v>
          </cell>
          <cell r="F109">
            <v>27.933157266551238</v>
          </cell>
          <cell r="G109">
            <v>28.674803593265946</v>
          </cell>
          <cell r="H109">
            <v>29.122911055874148</v>
          </cell>
          <cell r="I109">
            <v>23.955280286830234</v>
          </cell>
          <cell r="J109">
            <v>11.818112926408308</v>
          </cell>
        </row>
        <row r="110">
          <cell r="B110" t="str">
            <v>CHPWST</v>
          </cell>
          <cell r="C110" t="str">
            <v>VAR_ncap</v>
          </cell>
          <cell r="D110" t="str">
            <v>-</v>
          </cell>
          <cell r="F110">
            <v>3.8133852260893398E-7</v>
          </cell>
          <cell r="G110">
            <v>4.5035623116118699E-7</v>
          </cell>
          <cell r="H110">
            <v>9.2539405337890802E-4</v>
          </cell>
          <cell r="I110">
            <v>8.6873542610045301E-3</v>
          </cell>
          <cell r="J110">
            <v>2.17877093640346E-2</v>
          </cell>
        </row>
        <row r="111">
          <cell r="B111" t="str">
            <v>CHPWST</v>
          </cell>
          <cell r="C111" t="str">
            <v>VAR_cap</v>
          </cell>
          <cell r="D111" t="str">
            <v>-</v>
          </cell>
          <cell r="E111">
            <v>7.8399833688503992E-2</v>
          </cell>
          <cell r="F111">
            <v>7.3601073736050238E-2</v>
          </cell>
          <cell r="G111">
            <v>7.3598826120257158E-2</v>
          </cell>
          <cell r="H111">
            <v>7.4521877897546468E-2</v>
          </cell>
          <cell r="I111">
            <v>6.141263323281889E-2</v>
          </cell>
          <cell r="J111">
            <v>5.4957674185223876E-2</v>
          </cell>
        </row>
        <row r="112">
          <cell r="B112" t="str">
            <v>RHES-CHPNGA</v>
          </cell>
          <cell r="C112" t="str">
            <v>VAR_fout</v>
          </cell>
          <cell r="D112" t="str">
            <v>CO2_R</v>
          </cell>
          <cell r="E112">
            <v>6.4053904715152399</v>
          </cell>
          <cell r="F112">
            <v>0.84892028651819196</v>
          </cell>
          <cell r="G112">
            <v>2.3418557673237599</v>
          </cell>
          <cell r="H112">
            <v>0.56607762762380298</v>
          </cell>
          <cell r="I112">
            <v>0.38492998188204097</v>
          </cell>
          <cell r="J112"/>
        </row>
        <row r="113">
          <cell r="B113" t="str">
            <v>RHES-CHPNGA</v>
          </cell>
          <cell r="C113" t="str">
            <v>VAR_fout</v>
          </cell>
          <cell r="D113" t="str">
            <v>RHES_NKEV_GAS_ELC_CHP</v>
          </cell>
          <cell r="E113">
            <v>1.9675362830614433E-2</v>
          </cell>
          <cell r="F113">
            <v>3.983102784981536E-3</v>
          </cell>
          <cell r="G113">
            <v>9.1604951913489829E-3</v>
          </cell>
          <cell r="H113">
            <v>2.613644891733474E-3</v>
          </cell>
          <cell r="I113">
            <v>1.7954358935202265E-3</v>
          </cell>
          <cell r="J113"/>
        </row>
        <row r="114">
          <cell r="B114" t="str">
            <v>RHES-CHPNGA</v>
          </cell>
          <cell r="C114" t="str">
            <v>VAR_fout</v>
          </cell>
          <cell r="D114" t="str">
            <v>RHES_LTH_CHPNGA</v>
          </cell>
          <cell r="E114">
            <v>4.7366614221849575E-2</v>
          </cell>
          <cell r="F114">
            <v>9.4920079066438401E-3</v>
          </cell>
          <cell r="G114">
            <v>2.1495659351128484E-2</v>
          </cell>
          <cell r="H114">
            <v>5.9740454668193886E-3</v>
          </cell>
          <cell r="I114">
            <v>4.0318560415892827E-3</v>
          </cell>
          <cell r="J114"/>
        </row>
        <row r="115">
          <cell r="B115" t="str">
            <v>RHES-CHPNGA</v>
          </cell>
          <cell r="C115" t="str">
            <v>VAR_fin</v>
          </cell>
          <cell r="D115" t="str">
            <v>RNGA</v>
          </cell>
          <cell r="E115">
            <v>0.1135707530410503</v>
          </cell>
          <cell r="F115">
            <v>1.505177812975517E-2</v>
          </cell>
          <cell r="G115">
            <v>4.152226537808075E-2</v>
          </cell>
          <cell r="H115">
            <v>1.0036837369216355E-2</v>
          </cell>
          <cell r="I115">
            <v>6.8249996787595859E-3</v>
          </cell>
          <cell r="J115"/>
        </row>
        <row r="116">
          <cell r="B116" t="str">
            <v>RHES-CHPNGA</v>
          </cell>
          <cell r="C116" t="str">
            <v>VAR_ncap</v>
          </cell>
          <cell r="D116" t="str">
            <v>-</v>
          </cell>
          <cell r="F116">
            <v>7.0775761621905204E-5</v>
          </cell>
          <cell r="J116"/>
        </row>
        <row r="117">
          <cell r="B117" t="str">
            <v>RHES-CHPNGA</v>
          </cell>
          <cell r="C117" t="str">
            <v>VAR_cap</v>
          </cell>
          <cell r="D117" t="str">
            <v>-</v>
          </cell>
          <cell r="E117">
            <v>4.17644860082009E-3</v>
          </cell>
          <cell r="F117">
            <v>1.1912142595098421E-3</v>
          </cell>
          <cell r="G117">
            <v>1.0903942236089902E-3</v>
          </cell>
          <cell r="H117">
            <v>7.0254823358130328E-4</v>
          </cell>
          <cell r="I117">
            <v>1.5897357682582728E-4</v>
          </cell>
          <cell r="J117"/>
        </row>
        <row r="118">
          <cell r="B118" t="str">
            <v>RHEM-CHPWOD</v>
          </cell>
          <cell r="C118" t="str">
            <v>VAR_fout</v>
          </cell>
          <cell r="D118" t="str">
            <v>RHEM_KEV_WOD_ELC_CHP</v>
          </cell>
          <cell r="H118">
            <v>2.4774160308855993E-3</v>
          </cell>
          <cell r="I118">
            <v>6.1038829810932158E-2</v>
          </cell>
          <cell r="J118">
            <v>6.219613351397822E-3</v>
          </cell>
        </row>
        <row r="119">
          <cell r="B119" t="str">
            <v>RHEM-CHPWOD</v>
          </cell>
          <cell r="C119" t="str">
            <v>VAR_fout</v>
          </cell>
          <cell r="D119" t="str">
            <v>RHEM_LTH_CHPWOD</v>
          </cell>
          <cell r="H119">
            <v>6.5901707225528355E-3</v>
          </cell>
          <cell r="I119">
            <v>0.16236930097489363</v>
          </cell>
          <cell r="J119">
            <v>1.6544784284506536E-2</v>
          </cell>
        </row>
        <row r="120">
          <cell r="B120" t="str">
            <v>RHEM-CHPWOD</v>
          </cell>
          <cell r="C120" t="str">
            <v>VAR_fin</v>
          </cell>
          <cell r="D120" t="str">
            <v>RWOD</v>
          </cell>
          <cell r="H120">
            <v>1.0325130119373811E-2</v>
          </cell>
          <cell r="I120">
            <v>0.2237565857441452</v>
          </cell>
          <cell r="J120">
            <v>2.2377277126255587E-2</v>
          </cell>
        </row>
        <row r="121">
          <cell r="B121" t="str">
            <v>RHEM-CHPWOD</v>
          </cell>
          <cell r="C121" t="str">
            <v>VAR_ncap</v>
          </cell>
          <cell r="D121" t="str">
            <v>-</v>
          </cell>
          <cell r="H121">
            <v>1.84428075134657E-4</v>
          </cell>
          <cell r="I121">
            <v>2.5804569276031098E-3</v>
          </cell>
          <cell r="J121">
            <v>7.6742828103876197E-7</v>
          </cell>
        </row>
        <row r="122">
          <cell r="B122" t="str">
            <v>RHEM-CHPWOD</v>
          </cell>
          <cell r="C122" t="str">
            <v>VAR_cap</v>
          </cell>
          <cell r="D122" t="str">
            <v>-</v>
          </cell>
          <cell r="H122">
            <v>1.84428075134657E-4</v>
          </cell>
          <cell r="I122">
            <v>4.5295504175520357E-3</v>
          </cell>
          <cell r="J122">
            <v>4.6229501739833033E-4</v>
          </cell>
        </row>
        <row r="123">
          <cell r="B123" t="str">
            <v>G-INTC-IMP00-FR</v>
          </cell>
          <cell r="C123" t="str">
            <v>VAR_fout</v>
          </cell>
          <cell r="D123" t="str">
            <v>ELC</v>
          </cell>
          <cell r="E123">
            <v>28.9486469346562</v>
          </cell>
          <cell r="F123">
            <v>21.730335825157798</v>
          </cell>
          <cell r="G123">
            <v>26.08301318727289</v>
          </cell>
          <cell r="H123">
            <v>18.261720076961996</v>
          </cell>
          <cell r="I123">
            <v>9.2698333362317058</v>
          </cell>
          <cell r="J123">
            <v>7.1266271128429493</v>
          </cell>
        </row>
        <row r="124">
          <cell r="B124" t="str">
            <v>G-INTC-IMP00-FR</v>
          </cell>
          <cell r="C124" t="str">
            <v>VAR_fin</v>
          </cell>
          <cell r="D124" t="str">
            <v>ELC_I-FR</v>
          </cell>
          <cell r="E124">
            <v>28.9486469346562</v>
          </cell>
          <cell r="F124">
            <v>21.730335825157798</v>
          </cell>
          <cell r="G124">
            <v>26.08301318727289</v>
          </cell>
          <cell r="H124">
            <v>18.261720076961996</v>
          </cell>
          <cell r="I124">
            <v>9.2698333362317058</v>
          </cell>
          <cell r="J124">
            <v>7.1266271128429493</v>
          </cell>
        </row>
        <row r="125">
          <cell r="B125" t="str">
            <v>G-INTC-IMP00-FR</v>
          </cell>
          <cell r="C125" t="str">
            <v>VAR_ncap</v>
          </cell>
          <cell r="D125" t="str">
            <v>-</v>
          </cell>
          <cell r="E125">
            <v>5.9649959192343399E-6</v>
          </cell>
          <cell r="F125">
            <v>5.8040251935170899E-6</v>
          </cell>
          <cell r="G125">
            <v>8.5174383881892093E-6</v>
          </cell>
          <cell r="H125">
            <v>6.4113209929216598E-6</v>
          </cell>
          <cell r="I125">
            <v>9.1393394045903092E-6</v>
          </cell>
          <cell r="J125">
            <v>1.39620193198638E-5</v>
          </cell>
        </row>
        <row r="126">
          <cell r="B126" t="str">
            <v>G-INTC-IMP00-FR</v>
          </cell>
          <cell r="C126" t="str">
            <v>VAR_cap</v>
          </cell>
          <cell r="D126" t="str">
            <v>-</v>
          </cell>
          <cell r="E126">
            <v>1.6999965895959688</v>
          </cell>
          <cell r="F126">
            <v>1.6999939996350053</v>
          </cell>
          <cell r="G126">
            <v>1.699992627985585</v>
          </cell>
          <cell r="H126">
            <v>1.6999959257589541</v>
          </cell>
          <cell r="I126">
            <v>1.1999996053563438</v>
          </cell>
          <cell r="J126">
            <v>1.1999988409945754</v>
          </cell>
        </row>
        <row r="127">
          <cell r="B127" t="str">
            <v>ITOT-CHPWSTCCS</v>
          </cell>
          <cell r="C127" t="str">
            <v>VAR_fout</v>
          </cell>
          <cell r="D127" t="str">
            <v>CO2_O</v>
          </cell>
          <cell r="I127">
            <v>57.601743510014785</v>
          </cell>
          <cell r="J127">
            <v>787.80222442780973</v>
          </cell>
        </row>
        <row r="128">
          <cell r="B128" t="str">
            <v>ITOT-CHPWSTCCS</v>
          </cell>
          <cell r="C128" t="str">
            <v>VAR_fout</v>
          </cell>
          <cell r="D128" t="str">
            <v>CO2</v>
          </cell>
          <cell r="I128">
            <v>-57.601743510014799</v>
          </cell>
          <cell r="J128">
            <v>-787.80222442780996</v>
          </cell>
        </row>
        <row r="129">
          <cell r="B129" t="str">
            <v>ITOT-CHPWSTCCS</v>
          </cell>
          <cell r="C129" t="str">
            <v>VAR_fout</v>
          </cell>
          <cell r="D129" t="str">
            <v>ITOT_LTH_CHP</v>
          </cell>
          <cell r="I129">
            <v>0.2295112515397657</v>
          </cell>
          <cell r="J129">
            <v>2.2156049286133235</v>
          </cell>
        </row>
        <row r="130">
          <cell r="B130" t="str">
            <v>ITOT-CHPWSTCCS</v>
          </cell>
          <cell r="C130" t="str">
            <v>VAR_fout</v>
          </cell>
          <cell r="D130" t="str">
            <v>ITOT_KEV_WST_ELC_CHP</v>
          </cell>
          <cell r="I130">
            <v>4.5312830677935928E-2</v>
          </cell>
          <cell r="J130">
            <v>0.65313779819319318</v>
          </cell>
        </row>
        <row r="131">
          <cell r="B131" t="str">
            <v>ITOT-CHPWSTCCS</v>
          </cell>
          <cell r="C131" t="str">
            <v>VAR_fout</v>
          </cell>
          <cell r="D131" t="str">
            <v>CO2_I</v>
          </cell>
          <cell r="I131">
            <v>75.392229895243105</v>
          </cell>
          <cell r="J131">
            <v>1086.70136687425</v>
          </cell>
        </row>
        <row r="132">
          <cell r="B132" t="str">
            <v>ITOT-CHPWSTCCS</v>
          </cell>
          <cell r="C132" t="str">
            <v>VAR_fin</v>
          </cell>
          <cell r="D132" t="str">
            <v>IWST</v>
          </cell>
          <cell r="I132">
            <v>0.81241627042287823</v>
          </cell>
          <cell r="J132">
            <v>11.710144039593148</v>
          </cell>
        </row>
        <row r="133">
          <cell r="B133" t="str">
            <v>ITOT-CHPWSTCCS</v>
          </cell>
          <cell r="C133" t="str">
            <v>VAR_ncap</v>
          </cell>
          <cell r="D133" t="str">
            <v>-</v>
          </cell>
          <cell r="I133">
            <v>4.50706756881102E-3</v>
          </cell>
          <cell r="J133">
            <v>6.1377563233241401E-2</v>
          </cell>
        </row>
        <row r="134">
          <cell r="B134" t="str">
            <v>ITOT-CHPWSTCCS</v>
          </cell>
          <cell r="C134" t="str">
            <v>VAR_cap</v>
          </cell>
          <cell r="D134" t="str">
            <v>-</v>
          </cell>
          <cell r="I134">
            <v>4.50706756881102E-3</v>
          </cell>
          <cell r="J134">
            <v>6.5884555296154917E-2</v>
          </cell>
        </row>
        <row r="135">
          <cell r="B135" t="str">
            <v>EHYD-RUNS10</v>
          </cell>
          <cell r="C135" t="str">
            <v>VAR_fout</v>
          </cell>
          <cell r="D135" t="str">
            <v>ELC35</v>
          </cell>
          <cell r="F135">
            <v>5.6738226230131934E-3</v>
          </cell>
          <cell r="G135">
            <v>8.5649392462520922E-3</v>
          </cell>
          <cell r="H135">
            <v>8.6807414564455988E-3</v>
          </cell>
          <cell r="I135">
            <v>9.477510999358861E-3</v>
          </cell>
          <cell r="J135">
            <v>9.4824018194124612E-3</v>
          </cell>
        </row>
        <row r="136">
          <cell r="B136" t="str">
            <v>EHYD-RUNS10</v>
          </cell>
          <cell r="C136" t="str">
            <v>VAR_fin</v>
          </cell>
          <cell r="D136" t="str">
            <v>HYDR</v>
          </cell>
          <cell r="F136">
            <v>5.6738226230131934E-3</v>
          </cell>
          <cell r="G136">
            <v>8.5649392462520922E-3</v>
          </cell>
          <cell r="H136">
            <v>8.6807414564455988E-3</v>
          </cell>
          <cell r="I136">
            <v>9.477510999358861E-3</v>
          </cell>
          <cell r="J136">
            <v>9.4824018194124612E-3</v>
          </cell>
        </row>
        <row r="137">
          <cell r="B137" t="str">
            <v>EHYD-RUNS10</v>
          </cell>
          <cell r="C137" t="str">
            <v>VAR_ncap</v>
          </cell>
          <cell r="D137" t="str">
            <v>-</v>
          </cell>
          <cell r="F137">
            <v>5.1112038177504495E-4</v>
          </cell>
          <cell r="G137">
            <v>2.7042793010122201E-4</v>
          </cell>
          <cell r="H137">
            <v>1.53101167437195E-6</v>
          </cell>
          <cell r="I137">
            <v>1.6628755397088601E-7</v>
          </cell>
          <cell r="J137">
            <v>2.2065708815841601E-7</v>
          </cell>
        </row>
        <row r="138">
          <cell r="B138" t="str">
            <v>EHYD-RUNS10</v>
          </cell>
          <cell r="C138" t="str">
            <v>VAR_cap</v>
          </cell>
          <cell r="D138" t="str">
            <v>-</v>
          </cell>
          <cell r="F138">
            <v>5.1112038177504495E-4</v>
          </cell>
          <cell r="G138">
            <v>7.8154831187626599E-4</v>
          </cell>
          <cell r="H138">
            <v>7.83079323550638E-4</v>
          </cell>
          <cell r="I138">
            <v>7.83701703926868E-4</v>
          </cell>
          <cell r="J138">
            <v>7.8392236101502597E-4</v>
          </cell>
        </row>
        <row r="139">
          <cell r="B139" t="str">
            <v>SUP_WSTBIO</v>
          </cell>
          <cell r="C139" t="str">
            <v>VAR_fout</v>
          </cell>
          <cell r="D139" t="str">
            <v>ELC35</v>
          </cell>
          <cell r="E139">
            <v>0.1125885069931444</v>
          </cell>
          <cell r="F139">
            <v>0.1145860985721503</v>
          </cell>
          <cell r="G139">
            <v>0.10596963406904371</v>
          </cell>
          <cell r="H139">
            <v>0.13842308863540156</v>
          </cell>
          <cell r="I139">
            <v>0.1681621286144849</v>
          </cell>
          <cell r="J139">
            <v>0.19689512404054046</v>
          </cell>
        </row>
        <row r="140">
          <cell r="B140" t="str">
            <v>SUP_WSTBIO</v>
          </cell>
          <cell r="C140" t="str">
            <v>VAR_fout</v>
          </cell>
          <cell r="D140" t="str">
            <v>BIO</v>
          </cell>
          <cell r="E140">
            <v>5.6294253496572164</v>
          </cell>
          <cell r="F140">
            <v>5.7293049286075135</v>
          </cell>
          <cell r="G140">
            <v>5.2984817034521816</v>
          </cell>
          <cell r="H140">
            <v>6.9211544317700699</v>
          </cell>
          <cell r="I140">
            <v>8.4081064307242386</v>
          </cell>
          <cell r="J140">
            <v>9.8447562020270265</v>
          </cell>
        </row>
        <row r="141">
          <cell r="B141" t="str">
            <v>SUP_WSTBIO</v>
          </cell>
          <cell r="C141" t="str">
            <v>VAR_fin</v>
          </cell>
          <cell r="D141" t="str">
            <v>CWST</v>
          </cell>
          <cell r="E141">
            <v>9.6793947869249006</v>
          </cell>
          <cell r="F141">
            <v>9.8511305886742857</v>
          </cell>
          <cell r="G141">
            <v>9.1103608261072093</v>
          </cell>
          <cell r="H141">
            <v>11.900430677254938</v>
          </cell>
          <cell r="I141">
            <v>14.457138428599556</v>
          </cell>
          <cell r="J141">
            <v>16.927355092513888</v>
          </cell>
        </row>
        <row r="142">
          <cell r="B142" t="str">
            <v>SUP_WSTBIO</v>
          </cell>
          <cell r="C142" t="str">
            <v>VAR_ncap</v>
          </cell>
          <cell r="D142" t="str">
            <v>-</v>
          </cell>
          <cell r="E142">
            <v>4.1054472033830898E-3</v>
          </cell>
          <cell r="F142">
            <v>3.7677770770316202E-3</v>
          </cell>
          <cell r="G142">
            <v>1.7510280148706099E-6</v>
          </cell>
          <cell r="H142">
            <v>0.11861532293062201</v>
          </cell>
          <cell r="I142">
            <v>4.7343977901479803E-2</v>
          </cell>
          <cell r="J142">
            <v>0.17555576138390599</v>
          </cell>
        </row>
        <row r="143">
          <cell r="B143" t="str">
            <v>SUP_WSTBIO</v>
          </cell>
          <cell r="C143" t="str">
            <v>VAR_cap</v>
          </cell>
          <cell r="D143" t="str">
            <v>-</v>
          </cell>
          <cell r="E143">
            <v>0.21267469853662693</v>
          </cell>
          <cell r="F143">
            <v>0.21644159557482834</v>
          </cell>
          <cell r="G143">
            <v>0.21643310591877382</v>
          </cell>
          <cell r="H143">
            <v>0.26146643908896389</v>
          </cell>
          <cell r="I143">
            <v>0.31763808677053512</v>
          </cell>
          <cell r="J143">
            <v>0.37191122036859531</v>
          </cell>
        </row>
        <row r="144">
          <cell r="B144" t="str">
            <v>ITOT-CHPNGACCS</v>
          </cell>
          <cell r="C144" t="str">
            <v>VAR_fout</v>
          </cell>
          <cell r="D144" t="str">
            <v>CO2_O</v>
          </cell>
          <cell r="I144">
            <v>0.38359868620345894</v>
          </cell>
          <cell r="J144">
            <v>37.963920650355391</v>
          </cell>
        </row>
        <row r="145">
          <cell r="B145" t="str">
            <v>ITOT-CHPNGACCS</v>
          </cell>
          <cell r="C145" t="str">
            <v>VAR_fout</v>
          </cell>
          <cell r="D145" t="str">
            <v>CO2</v>
          </cell>
          <cell r="I145">
            <v>-0.38359868620345899</v>
          </cell>
          <cell r="J145">
            <v>-37.963920650355398</v>
          </cell>
        </row>
        <row r="146">
          <cell r="B146" t="str">
            <v>ITOT-CHPNGACCS</v>
          </cell>
          <cell r="C146" t="str">
            <v>VAR_fout</v>
          </cell>
          <cell r="D146" t="str">
            <v>ITOT_NKEV_GAS_ELC_CHP</v>
          </cell>
          <cell r="I146">
            <v>2.4760135136249984E-3</v>
          </cell>
          <cell r="J146">
            <v>0.24504562695663257</v>
          </cell>
        </row>
        <row r="147">
          <cell r="B147" t="str">
            <v>ITOT-CHPNGACCS</v>
          </cell>
          <cell r="C147" t="str">
            <v>VAR_fout</v>
          </cell>
          <cell r="D147" t="str">
            <v>ITOT_LTH_CHP</v>
          </cell>
          <cell r="I147">
            <v>2.8043529536694364E-3</v>
          </cell>
          <cell r="J147">
            <v>0.27083990347838416</v>
          </cell>
        </row>
        <row r="148">
          <cell r="B148" t="str">
            <v>ITOT-CHPNGACCS</v>
          </cell>
          <cell r="C148" t="str">
            <v>VAR_fout</v>
          </cell>
          <cell r="D148" t="str">
            <v>CO2_I</v>
          </cell>
          <cell r="I148">
            <v>0.50735557074835602</v>
          </cell>
          <cell r="J148">
            <v>43.867395212565299</v>
          </cell>
        </row>
        <row r="149">
          <cell r="B149" t="str">
            <v>ITOT-CHPNGACCS</v>
          </cell>
          <cell r="C149" t="str">
            <v>VAR_fin</v>
          </cell>
          <cell r="D149" t="str">
            <v>INGA</v>
          </cell>
          <cell r="I149">
            <v>8.9956661480205102E-3</v>
          </cell>
          <cell r="J149">
            <v>0.77779069525824951</v>
          </cell>
        </row>
        <row r="150">
          <cell r="B150" t="str">
            <v>ITOT-CHPNGACCS</v>
          </cell>
          <cell r="C150" t="str">
            <v>VAR_ncap</v>
          </cell>
          <cell r="D150" t="str">
            <v>-</v>
          </cell>
          <cell r="I150">
            <v>5.8837669723778904E-4</v>
          </cell>
          <cell r="J150">
            <v>3.6301605021741297E-2</v>
          </cell>
        </row>
        <row r="151">
          <cell r="B151" t="str">
            <v>ITOT-CHPNGACCS</v>
          </cell>
          <cell r="C151" t="str">
            <v>VAR_cap</v>
          </cell>
          <cell r="D151" t="str">
            <v>-</v>
          </cell>
          <cell r="I151">
            <v>5.8837669723778904E-4</v>
          </cell>
          <cell r="J151">
            <v>3.6889575418029556E-2</v>
          </cell>
        </row>
        <row r="152">
          <cell r="B152" t="str">
            <v>SCOM-ESOLPV</v>
          </cell>
          <cell r="C152" t="str">
            <v>VAR_fout</v>
          </cell>
          <cell r="D152" t="str">
            <v>SCOM_SOL_ELC</v>
          </cell>
          <cell r="E152">
            <v>2.8396236857719668</v>
          </cell>
          <cell r="F152">
            <v>3.2944566838166156</v>
          </cell>
          <cell r="G152">
            <v>9.9665619214692089</v>
          </cell>
          <cell r="H152">
            <v>17.902353899236019</v>
          </cell>
          <cell r="I152">
            <v>40.474894579762406</v>
          </cell>
          <cell r="J152">
            <v>44.709478143511866</v>
          </cell>
        </row>
        <row r="153">
          <cell r="B153" t="str">
            <v>SCOM-ESOLPV</v>
          </cell>
          <cell r="C153" t="str">
            <v>VAR_fin</v>
          </cell>
          <cell r="D153" t="str">
            <v>SOL</v>
          </cell>
          <cell r="E153">
            <v>2.8396236857719668</v>
          </cell>
          <cell r="F153">
            <v>3.2944566838166156</v>
          </cell>
          <cell r="G153">
            <v>9.9665619214692089</v>
          </cell>
          <cell r="H153">
            <v>17.902353899236019</v>
          </cell>
          <cell r="I153">
            <v>40.474894579762406</v>
          </cell>
          <cell r="J153">
            <v>44.709478143511866</v>
          </cell>
        </row>
        <row r="154">
          <cell r="B154" t="str">
            <v>SCOM-ESOLPV</v>
          </cell>
          <cell r="C154" t="str">
            <v>VAR_fin</v>
          </cell>
          <cell r="D154" t="str">
            <v>SOLPVC</v>
          </cell>
          <cell r="E154">
            <v>2.8396236857719699</v>
          </cell>
          <cell r="F154">
            <v>3.29445668381662</v>
          </cell>
          <cell r="G154">
            <v>9.9665619214692001</v>
          </cell>
          <cell r="H154">
            <v>17.902353899236001</v>
          </cell>
          <cell r="I154">
            <v>40.474894579762399</v>
          </cell>
          <cell r="J154">
            <v>44.709478143511902</v>
          </cell>
        </row>
        <row r="155">
          <cell r="B155" t="str">
            <v>SCOM-ESOLPV</v>
          </cell>
          <cell r="C155" t="str">
            <v>VAR_ncap</v>
          </cell>
          <cell r="D155" t="str">
            <v>-</v>
          </cell>
          <cell r="F155">
            <v>5.6116360364297204E-7</v>
          </cell>
          <cell r="G155">
            <v>2.00470206428002</v>
          </cell>
          <cell r="H155">
            <v>2.06536478654672</v>
          </cell>
          <cell r="I155">
            <v>3.6607414191560701</v>
          </cell>
          <cell r="J155">
            <v>5.7258761241270699</v>
          </cell>
        </row>
        <row r="156">
          <cell r="B156" t="str">
            <v>SCOM-ESOLPV</v>
          </cell>
          <cell r="C156" t="str">
            <v>VAR_cap</v>
          </cell>
          <cell r="D156" t="str">
            <v>-</v>
          </cell>
          <cell r="E156">
            <v>0.90292899999999998</v>
          </cell>
          <cell r="F156">
            <v>1.1231018227316136</v>
          </cell>
          <cell r="G156">
            <v>3.1799316254436203</v>
          </cell>
          <cell r="H156">
            <v>5.16072659023102</v>
          </cell>
          <cell r="I156">
            <v>11.667733848876789</v>
          </cell>
          <cell r="J156">
            <v>12.8884411190578</v>
          </cell>
        </row>
        <row r="157">
          <cell r="B157" t="str">
            <v>D-SCOM_LTH</v>
          </cell>
          <cell r="C157" t="str">
            <v>VAR_fout</v>
          </cell>
          <cell r="D157" t="str">
            <v>SCOM_LTH_DH</v>
          </cell>
          <cell r="E157">
            <v>5.6100151390591604</v>
          </cell>
          <cell r="F157">
            <v>6.0767094627013618</v>
          </cell>
          <cell r="G157">
            <v>5.92831792876978</v>
          </cell>
          <cell r="H157">
            <v>7.6023148085013244</v>
          </cell>
          <cell r="I157">
            <v>9.2777175046102229</v>
          </cell>
          <cell r="J157">
            <v>8.9957532273073646</v>
          </cell>
        </row>
        <row r="158">
          <cell r="B158" t="str">
            <v>D-SCOM_LTH</v>
          </cell>
          <cell r="C158" t="str">
            <v>VAR_fin</v>
          </cell>
          <cell r="D158" t="str">
            <v>LTH</v>
          </cell>
          <cell r="E158">
            <v>6.0987921917619108</v>
          </cell>
          <cell r="F158">
            <v>6.6044114558876119</v>
          </cell>
          <cell r="G158">
            <v>6.4405945886977998</v>
          </cell>
          <cell r="H158">
            <v>8.253823687758775</v>
          </cell>
          <cell r="I158">
            <v>10.059601258999969</v>
          </cell>
          <cell r="J158">
            <v>9.7411041230834154</v>
          </cell>
        </row>
        <row r="159">
          <cell r="B159" t="str">
            <v>D-SCOM_LTH</v>
          </cell>
          <cell r="C159" t="str">
            <v>VAR_ncap</v>
          </cell>
          <cell r="D159" t="str">
            <v>-</v>
          </cell>
          <cell r="E159">
            <v>0.84970034787450099</v>
          </cell>
          <cell r="F159">
            <v>1.8225714752307301E-7</v>
          </cell>
          <cell r="G159">
            <v>2.12118524857114E-7</v>
          </cell>
          <cell r="H159">
            <v>2.2508782995382E-7</v>
          </cell>
          <cell r="I159">
            <v>5.7744356746298401E-7</v>
          </cell>
          <cell r="J159">
            <v>4.6327974574172201E-7</v>
          </cell>
        </row>
        <row r="160">
          <cell r="B160" t="str">
            <v>D-SCOM_LTH</v>
          </cell>
          <cell r="C160" t="str">
            <v>VAR_cap</v>
          </cell>
          <cell r="D160" t="str">
            <v>-</v>
          </cell>
          <cell r="E160">
            <v>0.84970034787450099</v>
          </cell>
          <cell r="F160">
            <v>0.84970053013164903</v>
          </cell>
          <cell r="G160">
            <v>0.849700742250173</v>
          </cell>
          <cell r="H160">
            <v>0.84970096733800304</v>
          </cell>
          <cell r="I160">
            <v>0.84970196614085203</v>
          </cell>
          <cell r="J160">
            <v>0.84970242942059704</v>
          </cell>
        </row>
        <row r="161">
          <cell r="B161" t="str">
            <v>EHYD-RUNS15</v>
          </cell>
          <cell r="C161" t="str">
            <v>VAR_fout</v>
          </cell>
          <cell r="D161" t="str">
            <v>ELC35</v>
          </cell>
          <cell r="F161">
            <v>1.9787865143066582E-3</v>
          </cell>
          <cell r="G161">
            <v>1.603825524386113E-2</v>
          </cell>
          <cell r="H161">
            <v>3.7304879217531263E-2</v>
          </cell>
          <cell r="I161">
            <v>3.6494826734890566E-2</v>
          </cell>
          <cell r="J161">
            <v>4.0696326297175019E-2</v>
          </cell>
        </row>
        <row r="162">
          <cell r="B162" t="str">
            <v>EHYD-RUNS15</v>
          </cell>
          <cell r="C162" t="str">
            <v>VAR_fin</v>
          </cell>
          <cell r="D162" t="str">
            <v>HYDR</v>
          </cell>
          <cell r="F162">
            <v>1.9787865143066582E-3</v>
          </cell>
          <cell r="G162">
            <v>1.603825524386113E-2</v>
          </cell>
          <cell r="H162">
            <v>3.7304879217531263E-2</v>
          </cell>
          <cell r="I162">
            <v>3.6494826734890566E-2</v>
          </cell>
          <cell r="J162">
            <v>4.0696326297175019E-2</v>
          </cell>
        </row>
        <row r="163">
          <cell r="B163" t="str">
            <v>EHYD-RUNS15</v>
          </cell>
          <cell r="C163" t="str">
            <v>VAR_ncap</v>
          </cell>
          <cell r="D163" t="str">
            <v>-</v>
          </cell>
          <cell r="F163">
            <v>1.65946345715172E-4</v>
          </cell>
          <cell r="G163">
            <v>9.345311369248E-4</v>
          </cell>
          <cell r="H163">
            <v>1.3083037648499701E-3</v>
          </cell>
          <cell r="I163">
            <v>3.8952726201399798E-6</v>
          </cell>
          <cell r="J163">
            <v>1.11084610247592E-5</v>
          </cell>
        </row>
        <row r="164">
          <cell r="B164" t="str">
            <v>EHYD-RUNS15</v>
          </cell>
          <cell r="C164" t="str">
            <v>VAR_cap</v>
          </cell>
          <cell r="D164" t="str">
            <v>-</v>
          </cell>
          <cell r="F164">
            <v>1.65946345715172E-4</v>
          </cell>
          <cell r="G164">
            <v>1.10047748263997E-3</v>
          </cell>
          <cell r="H164">
            <v>2.40878124748994E-3</v>
          </cell>
          <cell r="I164">
            <v>2.4138862414499599E-3</v>
          </cell>
          <cell r="J164">
            <v>2.4249947024747201E-3</v>
          </cell>
        </row>
        <row r="165">
          <cell r="B165" t="str">
            <v>EHYD-RUN10</v>
          </cell>
          <cell r="C165" t="str">
            <v>VAR_fout</v>
          </cell>
          <cell r="D165" t="str">
            <v>ELC13</v>
          </cell>
          <cell r="F165">
            <v>5.7806666714774781E-3</v>
          </cell>
          <cell r="G165">
            <v>5.5595248549598797E-2</v>
          </cell>
          <cell r="H165">
            <v>6.1311929994088639E-2</v>
          </cell>
          <cell r="I165">
            <v>6.3705481270113176E-2</v>
          </cell>
          <cell r="J165">
            <v>6.0153097272635798E-2</v>
          </cell>
        </row>
        <row r="166">
          <cell r="B166" t="str">
            <v>EHYD-RUN10</v>
          </cell>
          <cell r="C166" t="str">
            <v>VAR_fin</v>
          </cell>
          <cell r="D166" t="str">
            <v>HYDR</v>
          </cell>
          <cell r="F166">
            <v>5.7806666714774781E-3</v>
          </cell>
          <cell r="G166">
            <v>5.5595248549598797E-2</v>
          </cell>
          <cell r="H166">
            <v>6.1311929994088639E-2</v>
          </cell>
          <cell r="I166">
            <v>6.3705481270113176E-2</v>
          </cell>
          <cell r="J166">
            <v>6.0153097272635798E-2</v>
          </cell>
        </row>
        <row r="167">
          <cell r="B167" t="str">
            <v>EHYD-RUN10</v>
          </cell>
          <cell r="C167" t="str">
            <v>VAR_ncap</v>
          </cell>
          <cell r="D167" t="str">
            <v>-</v>
          </cell>
          <cell r="F167">
            <v>5.0077850086224405E-4</v>
          </cell>
          <cell r="G167">
            <v>4.5208181361000403E-3</v>
          </cell>
          <cell r="H167">
            <v>4.2544165660659801E-8</v>
          </cell>
          <cell r="I167">
            <v>1.18981921694684E-8</v>
          </cell>
          <cell r="J167">
            <v>7.8573019431582703E-8</v>
          </cell>
        </row>
        <row r="168">
          <cell r="B168" t="str">
            <v>EHYD-RUN10</v>
          </cell>
          <cell r="C168" t="str">
            <v>VAR_cap</v>
          </cell>
          <cell r="D168" t="str">
            <v>-</v>
          </cell>
          <cell r="F168">
            <v>5.0077850086224405E-4</v>
          </cell>
          <cell r="G168">
            <v>5.0215966369622804E-3</v>
          </cell>
          <cell r="H168">
            <v>5.0216391811279404E-3</v>
          </cell>
          <cell r="I168">
            <v>5.0216956368887601E-3</v>
          </cell>
          <cell r="J168">
            <v>5.0217742099081999E-3</v>
          </cell>
        </row>
        <row r="169">
          <cell r="B169" t="str">
            <v>ITOT-CHPWOD</v>
          </cell>
          <cell r="C169" t="str">
            <v>VAR_fout</v>
          </cell>
          <cell r="D169" t="str">
            <v>ITOT_LTH_CHP</v>
          </cell>
          <cell r="E169">
            <v>0.65969644961829754</v>
          </cell>
          <cell r="F169">
            <v>1.7835627850281515</v>
          </cell>
          <cell r="G169">
            <v>3.3332179163618205</v>
          </cell>
          <cell r="H169">
            <v>3.6893480787620043</v>
          </cell>
          <cell r="I169">
            <v>1.8223826489028967</v>
          </cell>
          <cell r="J169">
            <v>0.73401353434826</v>
          </cell>
        </row>
        <row r="170">
          <cell r="B170" t="str">
            <v>ITOT-CHPWOD</v>
          </cell>
          <cell r="C170" t="str">
            <v>VAR_fout</v>
          </cell>
          <cell r="D170" t="str">
            <v>ITOT_KEV_WOD_ELC_CHP</v>
          </cell>
          <cell r="E170">
            <v>0.17249544330238578</v>
          </cell>
          <cell r="F170">
            <v>0.5121325385892016</v>
          </cell>
          <cell r="G170">
            <v>1.1223309492435565</v>
          </cell>
          <cell r="H170">
            <v>1.7440554554147625</v>
          </cell>
          <cell r="I170">
            <v>0.86148997948136785</v>
          </cell>
          <cell r="J170">
            <v>0.34698821623735876</v>
          </cell>
        </row>
        <row r="171">
          <cell r="B171" t="str">
            <v>ITOT-CHPWOD</v>
          </cell>
          <cell r="C171" t="str">
            <v>VAR_fin</v>
          </cell>
          <cell r="D171" t="str">
            <v>IWOD</v>
          </cell>
          <cell r="E171">
            <v>0.87266734038803795</v>
          </cell>
          <cell r="F171">
            <v>2.2685577933409391</v>
          </cell>
          <cell r="G171">
            <v>4.5130652573482823</v>
          </cell>
          <cell r="H171">
            <v>5.1544254190435801</v>
          </cell>
          <cell r="I171">
            <v>2.4422275501467881</v>
          </cell>
          <cell r="J171">
            <v>0.9447851769464074</v>
          </cell>
        </row>
        <row r="172">
          <cell r="B172" t="str">
            <v>ITOT-CHPWOD</v>
          </cell>
          <cell r="C172" t="str">
            <v>VAR_ncap</v>
          </cell>
          <cell r="D172" t="str">
            <v>-</v>
          </cell>
          <cell r="F172">
            <v>1.72606770908387E-2</v>
          </cell>
          <cell r="G172">
            <v>2.2560522975383902E-2</v>
          </cell>
          <cell r="H172">
            <v>2.2990806325588701E-2</v>
          </cell>
          <cell r="I172">
            <v>1.77129538798631E-5</v>
          </cell>
          <cell r="J172">
            <v>7.0213976015243203E-3</v>
          </cell>
        </row>
        <row r="173">
          <cell r="B173" t="str">
            <v>ITOT-CHPWOD</v>
          </cell>
          <cell r="C173" t="str">
            <v>VAR_cap</v>
          </cell>
          <cell r="D173" t="str">
            <v>-</v>
          </cell>
          <cell r="E173">
            <v>8.7840471457388408E-3</v>
          </cell>
          <cell r="F173">
            <v>1.8939416204235018E-2</v>
          </cell>
          <cell r="G173">
            <v>4.1499345293556783E-2</v>
          </cell>
          <cell r="H173">
            <v>6.4488494439412083E-2</v>
          </cell>
          <cell r="I173">
            <v>6.4454311166760883E-2</v>
          </cell>
          <cell r="J173">
            <v>2.5958718658327749E-2</v>
          </cell>
        </row>
        <row r="174">
          <cell r="B174" t="str">
            <v>EHYD-RUN15</v>
          </cell>
          <cell r="C174" t="str">
            <v>VAR_fout</v>
          </cell>
          <cell r="D174" t="str">
            <v>ELC13</v>
          </cell>
          <cell r="F174">
            <v>2.6098900687950002E-3</v>
          </cell>
          <cell r="G174">
            <v>2.6451005231082538E-3</v>
          </cell>
          <cell r="H174">
            <v>2.4172367031114845</v>
          </cell>
          <cell r="I174">
            <v>4.6380861982194617</v>
          </cell>
          <cell r="J174">
            <v>6.9711854198946961</v>
          </cell>
        </row>
        <row r="175">
          <cell r="B175" t="str">
            <v>EHYD-RUN15</v>
          </cell>
          <cell r="C175" t="str">
            <v>VAR_fin</v>
          </cell>
          <cell r="D175" t="str">
            <v>HYDR</v>
          </cell>
          <cell r="F175">
            <v>2.6098900687950002E-3</v>
          </cell>
          <cell r="G175">
            <v>2.6451005231082538E-3</v>
          </cell>
          <cell r="H175">
            <v>2.4172367031114845</v>
          </cell>
          <cell r="I175">
            <v>4.6380861982194617</v>
          </cell>
          <cell r="J175">
            <v>6.9711854198946961</v>
          </cell>
        </row>
        <row r="176">
          <cell r="B176" t="str">
            <v>EHYD-RUN15</v>
          </cell>
          <cell r="C176" t="str">
            <v>VAR_ncap</v>
          </cell>
          <cell r="D176" t="str">
            <v>-</v>
          </cell>
          <cell r="F176">
            <v>2.24027538047963E-4</v>
          </cell>
          <cell r="G176">
            <v>0.24643146721041001</v>
          </cell>
          <cell r="H176">
            <v>1.7262079995563101E-6</v>
          </cell>
          <cell r="I176">
            <v>0.18274852069257</v>
          </cell>
          <cell r="J176">
            <v>3.19415282397971E-6</v>
          </cell>
        </row>
        <row r="177">
          <cell r="B177" t="str">
            <v>EHYD-RUN15</v>
          </cell>
          <cell r="C177" t="str">
            <v>VAR_cap</v>
          </cell>
          <cell r="D177" t="str">
            <v>-</v>
          </cell>
          <cell r="F177">
            <v>2.24027538047963E-4</v>
          </cell>
          <cell r="G177">
            <v>2.24027538047963E-4</v>
          </cell>
          <cell r="H177">
            <v>0.171849099634829</v>
          </cell>
          <cell r="I177">
            <v>0.32973171049046002</v>
          </cell>
          <cell r="J177">
            <v>0.49559626523432698</v>
          </cell>
        </row>
        <row r="178">
          <cell r="B178" t="str">
            <v>SCOM-SWHSTG-CHPWOD</v>
          </cell>
          <cell r="C178" t="str">
            <v>VAR_fout</v>
          </cell>
          <cell r="D178" t="str">
            <v>AUX_SCOM-CHPWOD_OUT</v>
          </cell>
          <cell r="E178">
            <v>3.650713439810618E-4</v>
          </cell>
          <cell r="F178">
            <v>5.552658553555996E-4</v>
          </cell>
          <cell r="G178">
            <v>5.671644093986054E-4</v>
          </cell>
          <cell r="H178">
            <v>1.1944553835074243E-2</v>
          </cell>
          <cell r="I178">
            <v>4.1022488420311587E-2</v>
          </cell>
          <cell r="J178">
            <v>0.23291970153150243</v>
          </cell>
        </row>
        <row r="179">
          <cell r="B179" t="str">
            <v>SCOM-SWHSTG-CHPWOD</v>
          </cell>
          <cell r="C179" t="str">
            <v>VAR_fout</v>
          </cell>
          <cell r="D179" t="str">
            <v>SCOM_LTH_CHPWOD</v>
          </cell>
          <cell r="E179">
            <v>3.6507134398106235E-4</v>
          </cell>
          <cell r="F179">
            <v>5.5571971250429437E-4</v>
          </cell>
          <cell r="G179">
            <v>5.67888757303329E-4</v>
          </cell>
          <cell r="H179">
            <v>1.1944553835074225E-2</v>
          </cell>
          <cell r="I179">
            <v>4.1022488420311559E-2</v>
          </cell>
          <cell r="J179">
            <v>0.23291970153150238</v>
          </cell>
        </row>
        <row r="180">
          <cell r="B180" t="str">
            <v>SCOM-SWHSTG-CHPWOD</v>
          </cell>
          <cell r="C180" t="str">
            <v>VAR_fin</v>
          </cell>
          <cell r="D180" t="str">
            <v>AUX_SCOM-CHPWOD_IN</v>
          </cell>
          <cell r="E180">
            <v>3.6507134398106235E-4</v>
          </cell>
          <cell r="F180">
            <v>5.5571971250429437E-4</v>
          </cell>
          <cell r="G180">
            <v>5.67888757303329E-4</v>
          </cell>
          <cell r="H180">
            <v>1.3696790532539915E-2</v>
          </cell>
          <cell r="I180">
            <v>4.4075287366676805E-2</v>
          </cell>
          <cell r="J180">
            <v>0.23527938775104443</v>
          </cell>
        </row>
        <row r="181">
          <cell r="B181" t="str">
            <v>SCOM-SWHSTG-CHPWOD</v>
          </cell>
          <cell r="C181" t="str">
            <v>VAR_fin</v>
          </cell>
          <cell r="D181" t="str">
            <v>SCOM_LTH_CHPWOD</v>
          </cell>
          <cell r="E181">
            <v>3.6507134398106235E-4</v>
          </cell>
          <cell r="F181">
            <v>5.5571971250429437E-4</v>
          </cell>
          <cell r="G181">
            <v>5.67888757303329E-4</v>
          </cell>
          <cell r="H181">
            <v>1.3696790532539915E-2</v>
          </cell>
          <cell r="I181">
            <v>4.4075287366676805E-2</v>
          </cell>
          <cell r="J181">
            <v>0.23527938775104443</v>
          </cell>
        </row>
        <row r="182">
          <cell r="B182" t="str">
            <v>SCOM-SWHSTG-CHPWOD</v>
          </cell>
          <cell r="C182" t="str">
            <v>VAR_ncap</v>
          </cell>
          <cell r="D182" t="str">
            <v>-</v>
          </cell>
          <cell r="E182">
            <v>3.8526863994056602E-3</v>
          </cell>
          <cell r="F182">
            <v>1.1530035191941001E-4</v>
          </cell>
          <cell r="G182">
            <v>1.75793553045845E-4</v>
          </cell>
          <cell r="H182">
            <v>1.6029612700682201E-4</v>
          </cell>
          <cell r="I182">
            <v>3.21535559662637E-4</v>
          </cell>
          <cell r="J182">
            <v>1.19272729011215E-2</v>
          </cell>
        </row>
        <row r="183">
          <cell r="B183" t="str">
            <v>SCOM-SWHSTG-CHPWOD</v>
          </cell>
          <cell r="C183" t="str">
            <v>VAR_cap</v>
          </cell>
          <cell r="D183" t="str">
            <v>-</v>
          </cell>
          <cell r="E183">
            <v>3.8526863994056602E-3</v>
          </cell>
          <cell r="F183">
            <v>3.9555390455868885E-3</v>
          </cell>
          <cell r="G183">
            <v>4.1034653814515376E-3</v>
          </cell>
          <cell r="H183">
            <v>4.2027586266467224E-3</v>
          </cell>
          <cell r="I183">
            <v>5.929531470860264E-3</v>
          </cell>
          <cell r="J183">
            <v>1.4469609570752801E-2</v>
          </cell>
        </row>
        <row r="184">
          <cell r="B184" t="str">
            <v>RHNM-ESOLPV</v>
          </cell>
          <cell r="C184" t="str">
            <v>VAR_fout</v>
          </cell>
          <cell r="D184" t="str">
            <v>RHNM_SOL_ELC</v>
          </cell>
          <cell r="F184">
            <v>2.2742381055620685E-4</v>
          </cell>
          <cell r="G184">
            <v>1.714164548947088</v>
          </cell>
          <cell r="H184">
            <v>5.2380862398323362</v>
          </cell>
          <cell r="I184">
            <v>5.7862827432271304</v>
          </cell>
          <cell r="J184">
            <v>6.3916682743390147</v>
          </cell>
        </row>
        <row r="185">
          <cell r="B185" t="str">
            <v>RHNM-ESOLPV</v>
          </cell>
          <cell r="C185" t="str">
            <v>VAR_fin</v>
          </cell>
          <cell r="D185" t="str">
            <v>SOL</v>
          </cell>
          <cell r="F185">
            <v>2.2742381055620685E-4</v>
          </cell>
          <cell r="G185">
            <v>1.714164548947088</v>
          </cell>
          <cell r="H185">
            <v>5.2380862398323362</v>
          </cell>
          <cell r="I185">
            <v>5.7862827432271304</v>
          </cell>
          <cell r="J185">
            <v>6.3916682743390147</v>
          </cell>
        </row>
        <row r="186">
          <cell r="B186" t="str">
            <v>RHNM-ESOLPV</v>
          </cell>
          <cell r="C186" t="str">
            <v>VAR_fin</v>
          </cell>
          <cell r="D186" t="str">
            <v>SOLPVC</v>
          </cell>
          <cell r="F186">
            <v>2.2742381055620699E-4</v>
          </cell>
          <cell r="G186">
            <v>1.71416454894709</v>
          </cell>
          <cell r="H186">
            <v>5.2380862398323398</v>
          </cell>
          <cell r="I186">
            <v>5.7862827432271304</v>
          </cell>
          <cell r="J186">
            <v>6.3916682743390103</v>
          </cell>
        </row>
        <row r="187">
          <cell r="B187" t="str">
            <v>RHNM-ESOLPV</v>
          </cell>
          <cell r="C187" t="str">
            <v>VAR_ncap</v>
          </cell>
          <cell r="D187" t="str">
            <v>-</v>
          </cell>
          <cell r="F187">
            <v>7.7532612294388195E-5</v>
          </cell>
          <cell r="G187">
            <v>0.54684470318975698</v>
          </cell>
          <cell r="H187">
            <v>0.96306593213298797</v>
          </cell>
          <cell r="I187">
            <v>8.1017957078774405E-2</v>
          </cell>
          <cell r="J187">
            <v>1.44968576314213</v>
          </cell>
        </row>
        <row r="188">
          <cell r="B188" t="str">
            <v>RHNM-ESOLPV</v>
          </cell>
          <cell r="C188" t="str">
            <v>VAR_cap</v>
          </cell>
          <cell r="D188" t="str">
            <v>-</v>
          </cell>
          <cell r="F188">
            <v>7.7532612294388195E-5</v>
          </cell>
          <cell r="G188">
            <v>0.54692223580205102</v>
          </cell>
          <cell r="H188">
            <v>1.50998816793504</v>
          </cell>
          <cell r="I188">
            <v>1.66801944276548</v>
          </cell>
          <cell r="J188">
            <v>1.84253414192124</v>
          </cell>
        </row>
        <row r="189">
          <cell r="B189" t="str">
            <v>CHPNGA</v>
          </cell>
          <cell r="C189" t="str">
            <v>VAR_fout</v>
          </cell>
          <cell r="D189" t="str">
            <v>ELC35</v>
          </cell>
          <cell r="E189">
            <v>0.96588931287124591</v>
          </cell>
          <cell r="F189">
            <v>5.4438235756096073E-3</v>
          </cell>
          <cell r="G189">
            <v>1.2990750156893157E-2</v>
          </cell>
          <cell r="J189"/>
        </row>
        <row r="190">
          <cell r="B190" t="str">
            <v>CHPNGA</v>
          </cell>
          <cell r="C190" t="str">
            <v>VAR_fout</v>
          </cell>
          <cell r="D190" t="str">
            <v>LTH</v>
          </cell>
          <cell r="E190">
            <v>1.8035672097961197</v>
          </cell>
          <cell r="F190">
            <v>1.0460606222007625E-2</v>
          </cell>
          <cell r="G190">
            <v>2.6020424204535861E-2</v>
          </cell>
          <cell r="J190"/>
        </row>
        <row r="191">
          <cell r="B191" t="str">
            <v>CHPNGA</v>
          </cell>
          <cell r="C191" t="str">
            <v>VAR_fout</v>
          </cell>
          <cell r="D191" t="str">
            <v>CO2_E</v>
          </cell>
          <cell r="E191">
            <v>209.558741847916</v>
          </cell>
          <cell r="F191">
            <v>1.31389268674642</v>
          </cell>
          <cell r="G191">
            <v>3.4493142928026801</v>
          </cell>
          <cell r="I191">
            <v>3.5879311934461502E-4</v>
          </cell>
          <cell r="J191"/>
        </row>
        <row r="192">
          <cell r="B192" t="str">
            <v>CHPNGA</v>
          </cell>
          <cell r="C192" t="str">
            <v>VAR_fin</v>
          </cell>
          <cell r="D192" t="str">
            <v>ENGA</v>
          </cell>
          <cell r="E192">
            <v>3.7155805292183604</v>
          </cell>
          <cell r="F192">
            <v>2.3295969623163489E-2</v>
          </cell>
          <cell r="G192">
            <v>6.1158054836926982E-2</v>
          </cell>
          <cell r="I192">
            <v>6.3615801302236751E-6</v>
          </cell>
          <cell r="J192"/>
        </row>
        <row r="193">
          <cell r="B193" t="str">
            <v>CHPNGA</v>
          </cell>
          <cell r="C193" t="str">
            <v>VAR_ncap</v>
          </cell>
          <cell r="D193" t="str">
            <v>-</v>
          </cell>
          <cell r="F193">
            <v>4.0704823790927599E-7</v>
          </cell>
          <cell r="J193"/>
        </row>
        <row r="194">
          <cell r="B194" t="str">
            <v>CHPNGA</v>
          </cell>
          <cell r="C194" t="str">
            <v>VAR_cap</v>
          </cell>
          <cell r="D194" t="str">
            <v>-</v>
          </cell>
          <cell r="E194">
            <v>5.6378759612404197E-2</v>
          </cell>
          <cell r="F194">
            <v>1.6327544129001031E-3</v>
          </cell>
          <cell r="G194">
            <v>1.6257114630121999E-3</v>
          </cell>
          <cell r="H194">
            <v>-1.5882325290900168E-6</v>
          </cell>
          <cell r="J194"/>
        </row>
        <row r="195">
          <cell r="B195" t="str">
            <v>EHYD-PUM00</v>
          </cell>
          <cell r="C195" t="str">
            <v>VAR_fout</v>
          </cell>
          <cell r="D195" t="str">
            <v>ELC</v>
          </cell>
          <cell r="E195">
            <v>12.84192899429215</v>
          </cell>
          <cell r="F195">
            <v>16.032990896110729</v>
          </cell>
          <cell r="G195">
            <v>8.4075485614275767</v>
          </cell>
          <cell r="H195">
            <v>39.421510632830987</v>
          </cell>
          <cell r="I195">
            <v>13.392279774005292</v>
          </cell>
          <cell r="J195">
            <v>13.800800014673607</v>
          </cell>
        </row>
        <row r="196">
          <cell r="B196" t="str">
            <v>EHYD-PUM00</v>
          </cell>
          <cell r="C196" t="str">
            <v>VAR_fout</v>
          </cell>
          <cell r="D196" t="str">
            <v>AUX_PUMP_OUT</v>
          </cell>
          <cell r="E196">
            <v>12.84192899429215</v>
          </cell>
          <cell r="F196">
            <v>16.032990896110729</v>
          </cell>
          <cell r="G196">
            <v>8.4075485614275767</v>
          </cell>
          <cell r="H196">
            <v>39.421510632830987</v>
          </cell>
          <cell r="I196">
            <v>13.392279774005292</v>
          </cell>
          <cell r="J196">
            <v>13.800800014673607</v>
          </cell>
        </row>
        <row r="197">
          <cell r="B197" t="str">
            <v>EHYD-PUM00</v>
          </cell>
          <cell r="C197" t="str">
            <v>VAR_fin</v>
          </cell>
          <cell r="D197" t="str">
            <v>AUX_PUMP_IN</v>
          </cell>
          <cell r="E197">
            <v>16.052417502662617</v>
          </cell>
          <cell r="F197">
            <v>20.04124297265432</v>
          </cell>
          <cell r="G197">
            <v>10.509436237234334</v>
          </cell>
          <cell r="H197">
            <v>49.276883870312176</v>
          </cell>
          <cell r="I197">
            <v>16.740344449572859</v>
          </cell>
          <cell r="J197">
            <v>17.250996719250047</v>
          </cell>
        </row>
        <row r="198">
          <cell r="B198" t="str">
            <v>EHYD-PUM00</v>
          </cell>
          <cell r="C198" t="str">
            <v>VAR_fin</v>
          </cell>
          <cell r="D198" t="str">
            <v>ELC</v>
          </cell>
          <cell r="E198">
            <v>16.052417502662617</v>
          </cell>
          <cell r="F198">
            <v>20.04124297265432</v>
          </cell>
          <cell r="G198">
            <v>10.509436237234334</v>
          </cell>
          <cell r="H198">
            <v>49.276883870312176</v>
          </cell>
          <cell r="I198">
            <v>16.740344449572859</v>
          </cell>
          <cell r="J198">
            <v>17.250996719250047</v>
          </cell>
        </row>
        <row r="199">
          <cell r="B199" t="str">
            <v>EHYD-PUM00</v>
          </cell>
          <cell r="C199" t="str">
            <v>VAR_cap</v>
          </cell>
          <cell r="D199" t="str">
            <v>-</v>
          </cell>
          <cell r="E199">
            <v>3.3394499999999998</v>
          </cell>
          <cell r="F199">
            <v>3.97102894612105</v>
          </cell>
          <cell r="G199">
            <v>4.3594499999999998</v>
          </cell>
          <cell r="H199">
            <v>4.3594499999999998</v>
          </cell>
          <cell r="I199">
            <v>4.3594499999999998</v>
          </cell>
          <cell r="J199">
            <v>4.3594499999999998</v>
          </cell>
        </row>
        <row r="200">
          <cell r="B200" t="str">
            <v>RHNS-SHSTG-CHPNGA</v>
          </cell>
          <cell r="C200" t="str">
            <v>VAR_fout</v>
          </cell>
          <cell r="D200" t="str">
            <v>RHNS_LTH_CHPNGA</v>
          </cell>
          <cell r="E200">
            <v>1.1440476285834542E-3</v>
          </cell>
          <cell r="F200">
            <v>1.3653886204232516E-3</v>
          </cell>
          <cell r="G200">
            <v>7.8163846195668917E-3</v>
          </cell>
          <cell r="H200">
            <v>1.2244256084461131E-3</v>
          </cell>
          <cell r="I200">
            <v>2.4956522407571318E-3</v>
          </cell>
          <cell r="J200">
            <v>7.0153902035357369E-4</v>
          </cell>
        </row>
        <row r="201">
          <cell r="B201" t="str">
            <v>RHNS-SHSTG-CHPNGA</v>
          </cell>
          <cell r="C201" t="str">
            <v>VAR_fout</v>
          </cell>
          <cell r="D201" t="str">
            <v>AUX_RNS-CHPNGA_OUT</v>
          </cell>
          <cell r="E201">
            <v>1.1440476285834575E-3</v>
          </cell>
          <cell r="F201">
            <v>1.3644789677780698E-3</v>
          </cell>
          <cell r="G201">
            <v>7.8082510247494529E-3</v>
          </cell>
          <cell r="H201">
            <v>1.2244256084461131E-3</v>
          </cell>
          <cell r="I201">
            <v>2.4956522407571405E-3</v>
          </cell>
          <cell r="J201">
            <v>7.0153902035357456E-4</v>
          </cell>
        </row>
        <row r="202">
          <cell r="B202" t="str">
            <v>RHNS-SHSTG-CHPNGA</v>
          </cell>
          <cell r="C202" t="str">
            <v>VAR_fin</v>
          </cell>
          <cell r="D202" t="str">
            <v>RHNS_LTH_CHPNGA</v>
          </cell>
          <cell r="E202">
            <v>8.9315737065362325E-4</v>
          </cell>
          <cell r="F202">
            <v>1.7859027579125834E-3</v>
          </cell>
          <cell r="G202">
            <v>1.0071573031041763E-2</v>
          </cell>
          <cell r="H202">
            <v>1.537574281885036E-3</v>
          </cell>
          <cell r="I202">
            <v>2.9431455999292646E-3</v>
          </cell>
          <cell r="J202">
            <v>5.9626009598718482E-4</v>
          </cell>
        </row>
        <row r="203">
          <cell r="B203" t="str">
            <v>RHNS-SHSTG-CHPNGA</v>
          </cell>
          <cell r="C203" t="str">
            <v>VAR_fin</v>
          </cell>
          <cell r="D203" t="str">
            <v>AUX_RNS-CHPNGA_IN</v>
          </cell>
          <cell r="E203">
            <v>8.9315737065362325E-4</v>
          </cell>
          <cell r="F203">
            <v>1.7859027579125834E-3</v>
          </cell>
          <cell r="G203">
            <v>1.0071573031041763E-2</v>
          </cell>
          <cell r="H203">
            <v>1.537574281885036E-3</v>
          </cell>
          <cell r="I203">
            <v>2.9431455999292646E-3</v>
          </cell>
          <cell r="J203">
            <v>5.9626009598718482E-4</v>
          </cell>
        </row>
        <row r="204">
          <cell r="B204" t="str">
            <v>RHNS-SHSTG-CHPNGA</v>
          </cell>
          <cell r="C204" t="str">
            <v>VAR_ncap</v>
          </cell>
          <cell r="D204" t="str">
            <v>-</v>
          </cell>
          <cell r="E204">
            <v>5.8929402556475198E-3</v>
          </cell>
          <cell r="F204">
            <v>1.6523940656285399E-4</v>
          </cell>
          <cell r="G204">
            <v>1.2092359356889399E-4</v>
          </cell>
          <cell r="H204">
            <v>6.8322540370956302E-5</v>
          </cell>
          <cell r="I204">
            <v>1.2528311988853799E-4</v>
          </cell>
          <cell r="J204">
            <v>5.02869125545295E-5</v>
          </cell>
        </row>
        <row r="205">
          <cell r="B205" t="str">
            <v>RHNS-SHSTG-CHPNGA</v>
          </cell>
          <cell r="C205" t="str">
            <v>VAR_cap</v>
          </cell>
          <cell r="D205" t="str">
            <v>-</v>
          </cell>
          <cell r="E205">
            <v>5.8929402556475198E-3</v>
          </cell>
          <cell r="F205">
            <v>6.0481566347366858E-3</v>
          </cell>
          <cell r="G205">
            <v>6.1382595402312877E-3</v>
          </cell>
          <cell r="H205">
            <v>6.1020183772456955E-3</v>
          </cell>
          <cell r="I205">
            <v>5.1985420123272924E-3</v>
          </cell>
          <cell r="J205">
            <v>2.235999799797714E-3</v>
          </cell>
        </row>
        <row r="206">
          <cell r="B206" t="str">
            <v>ITOT-CHPGFC</v>
          </cell>
          <cell r="C206" t="str">
            <v>VAR_fout</v>
          </cell>
          <cell r="D206" t="str">
            <v>ITOT_NKEV_GAS_ELC_CHP</v>
          </cell>
          <cell r="I206">
            <v>8.71588200568762E-3</v>
          </cell>
          <cell r="J206">
            <v>1.2892626326436306E-3</v>
          </cell>
        </row>
        <row r="207">
          <cell r="B207" t="str">
            <v>ITOT-CHPGFC</v>
          </cell>
          <cell r="C207" t="str">
            <v>VAR_fout</v>
          </cell>
          <cell r="D207" t="str">
            <v>ITOT_LTH_CHP</v>
          </cell>
          <cell r="I207">
            <v>3.918148791547644E-3</v>
          </cell>
          <cell r="J207">
            <v>5.2022878159304405E-4</v>
          </cell>
        </row>
        <row r="208">
          <cell r="B208" t="str">
            <v>ITOT-CHPGFC</v>
          </cell>
          <cell r="C208" t="str">
            <v>VAR_fout</v>
          </cell>
          <cell r="D208" t="str">
            <v>CO2_I</v>
          </cell>
          <cell r="I208">
            <v>0.90197384425831495</v>
          </cell>
          <cell r="J208">
            <v>0.12756914470368599</v>
          </cell>
        </row>
        <row r="209">
          <cell r="B209" t="str">
            <v>ITOT-CHPGFC</v>
          </cell>
          <cell r="C209" t="str">
            <v>VAR_fin</v>
          </cell>
          <cell r="D209" t="str">
            <v>INGA</v>
          </cell>
          <cell r="I209">
            <v>1.5992444047133229E-2</v>
          </cell>
          <cell r="J209">
            <v>2.2618642677958429E-3</v>
          </cell>
        </row>
        <row r="210">
          <cell r="B210" t="str">
            <v>ITOT-CHPGFC</v>
          </cell>
          <cell r="C210" t="str">
            <v>VAR_ncap</v>
          </cell>
          <cell r="D210" t="str">
            <v>-</v>
          </cell>
          <cell r="I210">
            <v>8.8548680013217793E-5</v>
          </cell>
          <cell r="J210">
            <v>4.4603814256087901E-6</v>
          </cell>
        </row>
        <row r="211">
          <cell r="B211" t="str">
            <v>ITOT-CHPGFC</v>
          </cell>
          <cell r="C211" t="str">
            <v>VAR_cap</v>
          </cell>
          <cell r="D211" t="str">
            <v>-</v>
          </cell>
          <cell r="I211">
            <v>5.5158179213726343E-4</v>
          </cell>
          <cell r="J211">
            <v>2.6430182988986016E-4</v>
          </cell>
        </row>
        <row r="212">
          <cell r="B212" t="str">
            <v>ITOT-SWSTG-CHP</v>
          </cell>
          <cell r="C212" t="str">
            <v>VAR_fout</v>
          </cell>
          <cell r="D212" t="str">
            <v>ITOT_LTH_CHP</v>
          </cell>
          <cell r="E212">
            <v>4.1085034010251563E-4</v>
          </cell>
          <cell r="F212">
            <v>6.5736542095557937E-3</v>
          </cell>
          <cell r="G212">
            <v>0.13745712595463819</v>
          </cell>
          <cell r="H212">
            <v>2.8467819197587328E-3</v>
          </cell>
          <cell r="I212">
            <v>7.4361961716364292E-2</v>
          </cell>
          <cell r="J212">
            <v>0.30734924137898723</v>
          </cell>
        </row>
        <row r="213">
          <cell r="B213" t="str">
            <v>ITOT-SWSTG-CHP</v>
          </cell>
          <cell r="C213" t="str">
            <v>VAR_fout</v>
          </cell>
          <cell r="D213" t="str">
            <v>AUX_ITOT-CHP_OUT</v>
          </cell>
          <cell r="E213">
            <v>4.1085034010251487E-4</v>
          </cell>
          <cell r="F213">
            <v>6.5682854959958435E-3</v>
          </cell>
          <cell r="G213">
            <v>0.13728179798785931</v>
          </cell>
          <cell r="H213">
            <v>2.846781919758738E-3</v>
          </cell>
          <cell r="I213">
            <v>7.4361961716364403E-2</v>
          </cell>
          <cell r="J213">
            <v>0.30734924137898728</v>
          </cell>
        </row>
        <row r="214">
          <cell r="B214" t="str">
            <v>ITOT-SWSTG-CHP</v>
          </cell>
          <cell r="C214" t="str">
            <v>VAR_fin</v>
          </cell>
          <cell r="D214" t="str">
            <v>ITOT_LTH_CHP</v>
          </cell>
          <cell r="E214">
            <v>3.9454630140716665E-4</v>
          </cell>
          <cell r="F214">
            <v>7.9999251021352254E-3</v>
          </cell>
          <cell r="G214">
            <v>0.16363958780102836</v>
          </cell>
          <cell r="H214">
            <v>3.2862476687920178E-3</v>
          </cell>
          <cell r="I214">
            <v>7.9968542664713441E-2</v>
          </cell>
          <cell r="J214">
            <v>0.31046082152470994</v>
          </cell>
        </row>
        <row r="215">
          <cell r="B215" t="str">
            <v>ITOT-SWSTG-CHP</v>
          </cell>
          <cell r="C215" t="str">
            <v>VAR_fin</v>
          </cell>
          <cell r="D215" t="str">
            <v>AUX_ITOT-CHP_IN</v>
          </cell>
          <cell r="E215">
            <v>3.9454630140716665E-4</v>
          </cell>
          <cell r="F215">
            <v>7.9999251021352254E-3</v>
          </cell>
          <cell r="G215">
            <v>0.16363958780102836</v>
          </cell>
          <cell r="H215">
            <v>3.2862476687920178E-3</v>
          </cell>
          <cell r="I215">
            <v>7.9968542664713441E-2</v>
          </cell>
          <cell r="J215">
            <v>0.31046082152470994</v>
          </cell>
        </row>
        <row r="216">
          <cell r="B216" t="str">
            <v>ITOT-SWSTG-CHP</v>
          </cell>
          <cell r="C216" t="str">
            <v>VAR_ncap</v>
          </cell>
          <cell r="D216" t="str">
            <v>-</v>
          </cell>
          <cell r="E216">
            <v>8.49200344877701E-3</v>
          </cell>
          <cell r="F216">
            <v>1.09258370897984E-4</v>
          </cell>
          <cell r="G216">
            <v>1.7822289331928201E-4</v>
          </cell>
          <cell r="H216">
            <v>4.6671422056596799E-5</v>
          </cell>
          <cell r="I216">
            <v>4.3328330625452697E-3</v>
          </cell>
          <cell r="J216">
            <v>3.8957560465858201E-2</v>
          </cell>
        </row>
        <row r="217">
          <cell r="B217" t="str">
            <v>ITOT-SWSTG-CHP</v>
          </cell>
          <cell r="C217" t="str">
            <v>VAR_cap</v>
          </cell>
          <cell r="D217" t="str">
            <v>-</v>
          </cell>
          <cell r="E217">
            <v>8.4998404439037677E-3</v>
          </cell>
          <cell r="F217">
            <v>8.5877490358845805E-3</v>
          </cell>
          <cell r="G217">
            <v>8.736430505448041E-3</v>
          </cell>
          <cell r="H217">
            <v>8.6077382816486612E-3</v>
          </cell>
          <cell r="I217">
            <v>2.5282642859999271E-2</v>
          </cell>
          <cell r="J217">
            <v>5.0924960756112761E-2</v>
          </cell>
        </row>
        <row r="218">
          <cell r="B218" t="str">
            <v>D-ELFO</v>
          </cell>
          <cell r="C218" t="str">
            <v>VAR_fout</v>
          </cell>
          <cell r="D218" t="str">
            <v>CO2</v>
          </cell>
          <cell r="E218">
            <v>29.206263122182101</v>
          </cell>
          <cell r="F218">
            <v>17.764792042492399</v>
          </cell>
          <cell r="G218">
            <v>6.9208399810753898</v>
          </cell>
          <cell r="H218">
            <v>0.689884345834054</v>
          </cell>
          <cell r="I218">
            <v>9.6442054636424608</v>
          </cell>
          <cell r="J218">
            <v>3.7711842964756402E-2</v>
          </cell>
        </row>
        <row r="219">
          <cell r="B219" t="str">
            <v>D-ELFO</v>
          </cell>
          <cell r="C219" t="str">
            <v>VAR_fout</v>
          </cell>
          <cell r="D219" t="str">
            <v>ELFO</v>
          </cell>
          <cell r="E219">
            <v>0.38966736080321013</v>
          </cell>
          <cell r="F219">
            <v>0.23701627289519134</v>
          </cell>
          <cell r="G219">
            <v>9.2337230500356388E-2</v>
          </cell>
          <cell r="H219">
            <v>9.2043754853537631E-3</v>
          </cell>
          <cell r="I219">
            <v>0.12867213016400036</v>
          </cell>
          <cell r="J219">
            <v>5.031480493627703E-4</v>
          </cell>
        </row>
        <row r="220">
          <cell r="B220" t="str">
            <v>D-ELFO</v>
          </cell>
          <cell r="C220" t="str">
            <v>VAR_fin</v>
          </cell>
          <cell r="D220" t="str">
            <v>LFO</v>
          </cell>
          <cell r="E220">
            <v>0.39628579541631032</v>
          </cell>
          <cell r="F220">
            <v>0.24104195444358706</v>
          </cell>
          <cell r="G220">
            <v>9.3905562836843814E-2</v>
          </cell>
          <cell r="H220">
            <v>9.3607102555502419E-3</v>
          </cell>
          <cell r="I220">
            <v>0.13085760466271995</v>
          </cell>
          <cell r="J220">
            <v>5.1169393439289511E-4</v>
          </cell>
        </row>
        <row r="221">
          <cell r="B221" t="str">
            <v>EHYD-DAM00</v>
          </cell>
          <cell r="C221" t="str">
            <v>VAR_fout</v>
          </cell>
          <cell r="D221" t="str">
            <v>ELC</v>
          </cell>
          <cell r="E221">
            <v>66.745680801082017</v>
          </cell>
          <cell r="F221">
            <v>49.750151501433308</v>
          </cell>
          <cell r="G221">
            <v>68.107363952546052</v>
          </cell>
          <cell r="H221">
            <v>67.851106328761432</v>
          </cell>
          <cell r="I221">
            <v>68.841939099663435</v>
          </cell>
          <cell r="J221">
            <v>71.397315781751431</v>
          </cell>
        </row>
        <row r="222">
          <cell r="B222" t="str">
            <v>EHYD-DAM00</v>
          </cell>
          <cell r="C222" t="str">
            <v>VAR_fin</v>
          </cell>
          <cell r="D222" t="str">
            <v>HYDD</v>
          </cell>
          <cell r="E222">
            <v>66.745680801082017</v>
          </cell>
          <cell r="F222">
            <v>49.750151501433308</v>
          </cell>
          <cell r="G222">
            <v>68.107363952546052</v>
          </cell>
          <cell r="H222">
            <v>67.851106328761432</v>
          </cell>
          <cell r="I222">
            <v>68.841939099663435</v>
          </cell>
          <cell r="J222">
            <v>71.397315781751431</v>
          </cell>
        </row>
        <row r="223">
          <cell r="B223" t="str">
            <v>EHYD-DAM00</v>
          </cell>
          <cell r="C223" t="str">
            <v>VAR_cap</v>
          </cell>
          <cell r="D223" t="str">
            <v>-</v>
          </cell>
          <cell r="E223">
            <v>7.3394300010600002</v>
          </cell>
          <cell r="F223">
            <v>7.3394300010600002</v>
          </cell>
          <cell r="G223">
            <v>7.3394300010600002</v>
          </cell>
          <cell r="H223">
            <v>7.3394300010600002</v>
          </cell>
          <cell r="I223">
            <v>7.3394300010600002</v>
          </cell>
          <cell r="J223">
            <v>7.3394300010600002</v>
          </cell>
        </row>
        <row r="224">
          <cell r="B224" t="str">
            <v>RHES-SHSTG-CHPWOD</v>
          </cell>
          <cell r="C224" t="str">
            <v>VAR_fout</v>
          </cell>
          <cell r="D224" t="str">
            <v>AUX_RES-CHPWOD_OUT</v>
          </cell>
          <cell r="E224">
            <v>1.106775649121495E-3</v>
          </cell>
          <cell r="F224">
            <v>8.1879963643835454E-4</v>
          </cell>
          <cell r="G224">
            <v>4.5936861760655659E-4</v>
          </cell>
          <cell r="H224">
            <v>1.2829941002257051E-3</v>
          </cell>
          <cell r="I224">
            <v>2.685136077090739E-3</v>
          </cell>
          <cell r="J224">
            <v>6.1199839208831291E-3</v>
          </cell>
        </row>
        <row r="225">
          <cell r="B225" t="str">
            <v>RHES-SHSTG-CHPWOD</v>
          </cell>
          <cell r="C225" t="str">
            <v>VAR_fout</v>
          </cell>
          <cell r="D225" t="str">
            <v>RHES_LTH_CHPWOD</v>
          </cell>
          <cell r="E225">
            <v>1.1067756491214922E-3</v>
          </cell>
          <cell r="F225">
            <v>8.1934550286264581E-4</v>
          </cell>
          <cell r="G225">
            <v>4.5984712658322962E-4</v>
          </cell>
          <cell r="H225">
            <v>1.2829941002257051E-3</v>
          </cell>
          <cell r="I225">
            <v>2.6851360770907299E-3</v>
          </cell>
          <cell r="J225">
            <v>6.1199839208831213E-3</v>
          </cell>
        </row>
        <row r="226">
          <cell r="B226" t="str">
            <v>RHES-SHSTG-CHPWOD</v>
          </cell>
          <cell r="C226" t="str">
            <v>VAR_fin</v>
          </cell>
          <cell r="D226" t="str">
            <v>AUX_RES-CHPWOD_IN</v>
          </cell>
          <cell r="E226">
            <v>8.643273870637719E-4</v>
          </cell>
          <cell r="F226">
            <v>5.7863059903371533E-4</v>
          </cell>
          <cell r="G226">
            <v>3.6640825931420968E-4</v>
          </cell>
          <cell r="H226">
            <v>1.6107848965507122E-3</v>
          </cell>
          <cell r="I226">
            <v>3.1660258914050945E-3</v>
          </cell>
          <cell r="J226">
            <v>6.8072398820422644E-3</v>
          </cell>
        </row>
        <row r="227">
          <cell r="B227" t="str">
            <v>RHES-SHSTG-CHPWOD</v>
          </cell>
          <cell r="C227" t="str">
            <v>VAR_fin</v>
          </cell>
          <cell r="D227" t="str">
            <v>RHES_LTH_CHPWOD</v>
          </cell>
          <cell r="E227">
            <v>8.643273870637719E-4</v>
          </cell>
          <cell r="F227">
            <v>5.7863059903371533E-4</v>
          </cell>
          <cell r="G227">
            <v>3.6640825931420968E-4</v>
          </cell>
          <cell r="H227">
            <v>1.6107848965507122E-3</v>
          </cell>
          <cell r="I227">
            <v>3.1660258914050945E-3</v>
          </cell>
          <cell r="J227">
            <v>6.8072398820422644E-3</v>
          </cell>
        </row>
        <row r="228">
          <cell r="B228" t="str">
            <v>RHES-SHSTG-CHPWOD</v>
          </cell>
          <cell r="C228" t="str">
            <v>VAR_ncap</v>
          </cell>
          <cell r="D228" t="str">
            <v>-</v>
          </cell>
          <cell r="E228">
            <v>4.2818067890461903E-3</v>
          </cell>
          <cell r="F228">
            <v>9.6123711766936894E-5</v>
          </cell>
          <cell r="G228">
            <v>1.47559949625042E-4</v>
          </cell>
          <cell r="H228">
            <v>1.1957840502282801E-4</v>
          </cell>
          <cell r="I228">
            <v>3.3366561511980402E-4</v>
          </cell>
          <cell r="J228">
            <v>7.78492307887459E-4</v>
          </cell>
        </row>
        <row r="229">
          <cell r="B229" t="str">
            <v>RHES-SHSTG-CHPWOD</v>
          </cell>
          <cell r="C229" t="str">
            <v>VAR_cap</v>
          </cell>
          <cell r="D229" t="str">
            <v>-</v>
          </cell>
          <cell r="E229">
            <v>4.2818067890461903E-3</v>
          </cell>
          <cell r="F229">
            <v>4.3660394597251993E-3</v>
          </cell>
          <cell r="G229">
            <v>4.4785872186208064E-3</v>
          </cell>
          <cell r="H229">
            <v>4.548024333027729E-3</v>
          </cell>
          <cell r="I229">
            <v>5.890274462018695E-3</v>
          </cell>
          <cell r="J229">
            <v>3.3189928582921537E-3</v>
          </cell>
        </row>
        <row r="230">
          <cell r="B230" t="str">
            <v>G-INTC-IND</v>
          </cell>
          <cell r="C230" t="str">
            <v>VAR_fout</v>
          </cell>
          <cell r="D230" t="str">
            <v>ELC35</v>
          </cell>
          <cell r="E230">
            <v>1.3273911339471679E-2</v>
          </cell>
          <cell r="F230">
            <v>5.52606018007627E-3</v>
          </cell>
          <cell r="G230">
            <v>6.2247907195689253E-3</v>
          </cell>
          <cell r="H230">
            <v>2.9297709538931606E-3</v>
          </cell>
          <cell r="I230">
            <v>3.3251162139771289E-3</v>
          </cell>
          <cell r="J230">
            <v>2.6009097127807431E-3</v>
          </cell>
        </row>
        <row r="231">
          <cell r="B231" t="str">
            <v>G-INTC-IND</v>
          </cell>
          <cell r="C231" t="str">
            <v>VAR_fout</v>
          </cell>
          <cell r="D231" t="str">
            <v>ITOT_ELC</v>
          </cell>
          <cell r="E231">
            <v>55.84423872518056</v>
          </cell>
          <cell r="F231">
            <v>57.496211955251042</v>
          </cell>
          <cell r="G231">
            <v>58.288272771572224</v>
          </cell>
          <cell r="H231">
            <v>52.723984020713125</v>
          </cell>
          <cell r="I231">
            <v>38.411542650532311</v>
          </cell>
          <cell r="J231">
            <v>34.588480089781008</v>
          </cell>
        </row>
        <row r="232">
          <cell r="B232" t="str">
            <v>G-INTC-IND</v>
          </cell>
          <cell r="C232" t="str">
            <v>VAR_fout</v>
          </cell>
          <cell r="D232" t="str">
            <v>ELC13</v>
          </cell>
          <cell r="E232">
            <v>1.2001592632354691E-2</v>
          </cell>
          <cell r="F232">
            <v>3.6720717478434775E-3</v>
          </cell>
          <cell r="G232">
            <v>4.7369280086673807E-3</v>
          </cell>
          <cell r="H232">
            <v>2.6088561132172755E-3</v>
          </cell>
          <cell r="I232">
            <v>2.4426740151178186E-3</v>
          </cell>
          <cell r="J232">
            <v>2.1358162113741456E-3</v>
          </cell>
        </row>
        <row r="233">
          <cell r="B233" t="str">
            <v>G-INTC-IND</v>
          </cell>
          <cell r="C233" t="str">
            <v>VAR_fin</v>
          </cell>
          <cell r="D233" t="str">
            <v>ELC3</v>
          </cell>
          <cell r="E233">
            <v>25.77292981123778</v>
          </cell>
          <cell r="F233">
            <v>57.493475300589537</v>
          </cell>
          <cell r="G233">
            <v>58.278693646252272</v>
          </cell>
          <cell r="H233">
            <v>24.158423533004811</v>
          </cell>
          <cell r="I233">
            <v>17.449031784519033</v>
          </cell>
          <cell r="J233">
            <v>15.610978072186827</v>
          </cell>
        </row>
        <row r="234">
          <cell r="B234" t="str">
            <v>G-INTC-IND</v>
          </cell>
          <cell r="C234" t="str">
            <v>VAR_fin</v>
          </cell>
          <cell r="D234" t="str">
            <v>ELC5</v>
          </cell>
          <cell r="E234">
            <v>30.09651856673111</v>
          </cell>
          <cell r="F234">
            <v>1.1908962873321787E-2</v>
          </cell>
          <cell r="G234">
            <v>2.0505949188319741E-2</v>
          </cell>
          <cell r="H234">
            <v>28.571051687395006</v>
          </cell>
          <cell r="I234">
            <v>20.968278656242347</v>
          </cell>
          <cell r="J234">
            <v>18.982173089221948</v>
          </cell>
        </row>
        <row r="235">
          <cell r="B235" t="str">
            <v>G-INTC-IND</v>
          </cell>
          <cell r="C235" t="str">
            <v>VAR_ncap</v>
          </cell>
          <cell r="D235" t="str">
            <v>-</v>
          </cell>
          <cell r="E235">
            <v>7.3263585768812602E-6</v>
          </cell>
          <cell r="F235">
            <v>2.1709978356325502E-6</v>
          </cell>
          <cell r="G235">
            <v>2.07773908648125E-6</v>
          </cell>
          <cell r="H235">
            <v>7.1284069875578401E-6</v>
          </cell>
          <cell r="I235">
            <v>7.8060701232247007E-6</v>
          </cell>
          <cell r="J235">
            <v>9.8696576059536896E-6</v>
          </cell>
        </row>
        <row r="236">
          <cell r="B236" t="str">
            <v>G-INTC-IND</v>
          </cell>
          <cell r="C236" t="str">
            <v>VAR_cap</v>
          </cell>
          <cell r="D236" t="str">
            <v>-</v>
          </cell>
          <cell r="E236">
            <v>4.4927373631622096</v>
          </cell>
          <cell r="F236">
            <v>4.4927397452336679</v>
          </cell>
          <cell r="G236">
            <v>4.492746860518622</v>
          </cell>
          <cell r="H236">
            <v>4.4927528602312536</v>
          </cell>
          <cell r="I236">
            <v>4.4927666231712458</v>
          </cell>
          <cell r="J236">
            <v>4.4927779738956923</v>
          </cell>
        </row>
        <row r="237">
          <cell r="B237" t="str">
            <v>D-IH2R</v>
          </cell>
          <cell r="C237" t="str">
            <v>VAR_fout</v>
          </cell>
          <cell r="D237" t="str">
            <v>IH2</v>
          </cell>
          <cell r="E237"/>
          <cell r="F237"/>
          <cell r="G237"/>
          <cell r="H237"/>
          <cell r="I237">
            <v>13.089652662645911</v>
          </cell>
          <cell r="J237">
            <v>8.1280418165278157</v>
          </cell>
        </row>
        <row r="238">
          <cell r="B238" t="str">
            <v>D-IH2R</v>
          </cell>
          <cell r="C238" t="str">
            <v>VAR_fin</v>
          </cell>
          <cell r="D238" t="str">
            <v>H2</v>
          </cell>
          <cell r="E238"/>
          <cell r="F238"/>
          <cell r="G238"/>
          <cell r="H238"/>
          <cell r="I238">
            <v>13.089652662645911</v>
          </cell>
          <cell r="J238">
            <v>8.1280418165278157</v>
          </cell>
        </row>
        <row r="239">
          <cell r="B239" t="str">
            <v>D-IH2R</v>
          </cell>
          <cell r="C239" t="str">
            <v>VAR_ncap</v>
          </cell>
          <cell r="D239" t="str">
            <v>-</v>
          </cell>
          <cell r="E239"/>
          <cell r="F239"/>
          <cell r="G239"/>
          <cell r="H239">
            <v>1.46598462973575E-6</v>
          </cell>
          <cell r="I239">
            <v>0.46372869137946299</v>
          </cell>
          <cell r="J239">
            <v>0.127543704520828</v>
          </cell>
        </row>
        <row r="240">
          <cell r="B240" t="str">
            <v>D-IH2R</v>
          </cell>
          <cell r="C240" t="str">
            <v>VAR_cap</v>
          </cell>
          <cell r="D240" t="str">
            <v>-</v>
          </cell>
          <cell r="E240"/>
          <cell r="F240"/>
          <cell r="G240"/>
          <cell r="H240">
            <v>1.46598462973575E-6</v>
          </cell>
          <cell r="I240">
            <v>0.52148606253256102</v>
          </cell>
          <cell r="J240">
            <v>0.28638063404324499</v>
          </cell>
        </row>
        <row r="241">
          <cell r="B241" t="str">
            <v>ESOL-PV_E</v>
          </cell>
          <cell r="C241" t="str">
            <v>VAR_fout</v>
          </cell>
          <cell r="D241" t="str">
            <v>CELC_E</v>
          </cell>
          <cell r="E241"/>
          <cell r="F241"/>
          <cell r="G241"/>
          <cell r="H241">
            <v>3.6040163788483022E-2</v>
          </cell>
          <cell r="I241">
            <v>16.322245133073757</v>
          </cell>
          <cell r="J241">
            <v>35.832913653390044</v>
          </cell>
        </row>
        <row r="242">
          <cell r="B242" t="str">
            <v>ESOL-PV_E</v>
          </cell>
          <cell r="C242" t="str">
            <v>VAR_fin</v>
          </cell>
          <cell r="D242" t="str">
            <v>SOL</v>
          </cell>
          <cell r="E242"/>
          <cell r="F242"/>
          <cell r="G242"/>
          <cell r="H242">
            <v>3.6040163788483022E-2</v>
          </cell>
          <cell r="I242">
            <v>16.322245133073757</v>
          </cell>
          <cell r="J242">
            <v>35.832913653390044</v>
          </cell>
        </row>
        <row r="243">
          <cell r="B243" t="str">
            <v>ESOL-PV_E</v>
          </cell>
          <cell r="C243" t="str">
            <v>VAR_fin</v>
          </cell>
          <cell r="D243" t="str">
            <v>SOLPVC</v>
          </cell>
          <cell r="E243"/>
          <cell r="F243"/>
          <cell r="G243"/>
          <cell r="H243">
            <v>3.6040163788483001E-2</v>
          </cell>
          <cell r="I243">
            <v>16.3222451330738</v>
          </cell>
          <cell r="J243">
            <v>35.832913653390101</v>
          </cell>
        </row>
        <row r="244">
          <cell r="B244" t="str">
            <v>ESOL-PV_E</v>
          </cell>
          <cell r="C244" t="str">
            <v>VAR_ncap</v>
          </cell>
          <cell r="D244" t="str">
            <v>-</v>
          </cell>
          <cell r="E244"/>
          <cell r="F244"/>
          <cell r="G244"/>
          <cell r="H244">
            <v>1.0389328152669099E-2</v>
          </cell>
          <cell r="I244">
            <v>3.8691652574214799</v>
          </cell>
          <cell r="J244">
            <v>5.6243607176170904</v>
          </cell>
        </row>
        <row r="245">
          <cell r="B245" t="str">
            <v>ESOL-PV_E</v>
          </cell>
          <cell r="C245" t="str">
            <v>VAR_cap</v>
          </cell>
          <cell r="D245" t="str">
            <v>-</v>
          </cell>
          <cell r="E245"/>
          <cell r="F245"/>
          <cell r="G245"/>
          <cell r="H245">
            <v>1.0389328152669099E-2</v>
          </cell>
          <cell r="I245">
            <v>4.7052292325134504</v>
          </cell>
          <cell r="J245">
            <v>10.329589950130501</v>
          </cell>
        </row>
        <row r="246">
          <cell r="B246" t="str">
            <v>EWSTINC</v>
          </cell>
          <cell r="C246" t="str">
            <v>VAR_fout</v>
          </cell>
          <cell r="D246" t="str">
            <v>ELC35</v>
          </cell>
          <cell r="E246">
            <v>6.5070030035977169</v>
          </cell>
          <cell r="F246">
            <v>7.3517593800200194</v>
          </cell>
          <cell r="G246">
            <v>7.6162441209968783</v>
          </cell>
          <cell r="H246">
            <v>7.8213139721997038</v>
          </cell>
          <cell r="I246">
            <v>6.7072501917546479</v>
          </cell>
          <cell r="J246">
            <v>5.1263848792490796</v>
          </cell>
        </row>
        <row r="247">
          <cell r="B247" t="str">
            <v>EWSTINC</v>
          </cell>
          <cell r="C247" t="str">
            <v>VAR_fout</v>
          </cell>
          <cell r="D247" t="str">
            <v>CO2_E</v>
          </cell>
          <cell r="E247">
            <v>1689.2939761888599</v>
          </cell>
          <cell r="F247">
            <v>1908.6025975692901</v>
          </cell>
          <cell r="G247">
            <v>1977.2659252916001</v>
          </cell>
          <cell r="H247">
            <v>2030.50445371142</v>
          </cell>
          <cell r="I247">
            <v>1741.2804849572201</v>
          </cell>
          <cell r="J247">
            <v>1330.86938662131</v>
          </cell>
        </row>
        <row r="248">
          <cell r="B248" t="str">
            <v>EWSTINC</v>
          </cell>
          <cell r="C248" t="str">
            <v>VAR_fin</v>
          </cell>
          <cell r="D248" t="str">
            <v>EWST</v>
          </cell>
          <cell r="E248">
            <v>18.203598881345474</v>
          </cell>
          <cell r="F248">
            <v>20.566838335875939</v>
          </cell>
          <cell r="G248">
            <v>21.306744884607745</v>
          </cell>
          <cell r="H248">
            <v>21.880435923614382</v>
          </cell>
          <cell r="I248">
            <v>18.763798329280363</v>
          </cell>
          <cell r="J248">
            <v>14.34126494203999</v>
          </cell>
        </row>
        <row r="249">
          <cell r="B249" t="str">
            <v>EWSTINC</v>
          </cell>
          <cell r="C249" t="str">
            <v>VAR_ncap</v>
          </cell>
          <cell r="D249" t="str">
            <v>-</v>
          </cell>
          <cell r="E249"/>
          <cell r="F249">
            <v>4.2607882235710801E-7</v>
          </cell>
          <cell r="G249">
            <v>9.5895215083301594E-7</v>
          </cell>
          <cell r="H249">
            <v>7.9675770340114499E-2</v>
          </cell>
          <cell r="I249">
            <v>1.4777115256348301E-2</v>
          </cell>
          <cell r="J249">
            <v>3.51918953090463E-3</v>
          </cell>
        </row>
        <row r="250">
          <cell r="B250" t="str">
            <v>EWSTINC</v>
          </cell>
          <cell r="C250" t="str">
            <v>VAR_cap</v>
          </cell>
          <cell r="D250" t="str">
            <v>-</v>
          </cell>
          <cell r="E250">
            <v>0.2841398614609244</v>
          </cell>
          <cell r="F250">
            <v>0.28413210602461564</v>
          </cell>
          <cell r="G250">
            <v>0.28413029738717549</v>
          </cell>
          <cell r="H250">
            <v>0.29177973670791019</v>
          </cell>
          <cell r="I250">
            <v>0.27685667017878107</v>
          </cell>
          <cell r="J250">
            <v>0.20285892184130963</v>
          </cell>
        </row>
        <row r="251">
          <cell r="B251" t="str">
            <v>D-IBIO</v>
          </cell>
          <cell r="C251" t="str">
            <v>VAR_fout</v>
          </cell>
          <cell r="D251" t="str">
            <v>IBIO</v>
          </cell>
          <cell r="E251">
            <v>0.43680293390407765</v>
          </cell>
          <cell r="F251">
            <v>0.55208447861884991</v>
          </cell>
          <cell r="G251">
            <v>1.6569961487048186</v>
          </cell>
          <cell r="H251">
            <v>2.0881754422262904</v>
          </cell>
          <cell r="I251">
            <v>2.0883822462650889</v>
          </cell>
          <cell r="J251">
            <v>2.0884117568615412</v>
          </cell>
        </row>
        <row r="252">
          <cell r="B252" t="str">
            <v>D-IBIO</v>
          </cell>
          <cell r="C252" t="str">
            <v>VAR_fin</v>
          </cell>
          <cell r="D252" t="str">
            <v>BIO</v>
          </cell>
          <cell r="E252">
            <v>0.43680293390407765</v>
          </cell>
          <cell r="F252">
            <v>0.55208447861884991</v>
          </cell>
          <cell r="G252">
            <v>1.6569961487048186</v>
          </cell>
          <cell r="H252">
            <v>2.0881754422262904</v>
          </cell>
          <cell r="I252">
            <v>2.0883822462650889</v>
          </cell>
          <cell r="J252">
            <v>2.0884117568615412</v>
          </cell>
        </row>
        <row r="253">
          <cell r="B253" t="str">
            <v>D-EWOD</v>
          </cell>
          <cell r="C253" t="str">
            <v>VAR_fout</v>
          </cell>
          <cell r="D253" t="str">
            <v>EWOD</v>
          </cell>
          <cell r="E253">
            <v>3.5963003465499801</v>
          </cell>
          <cell r="F253">
            <v>2.5000623277349261</v>
          </cell>
          <cell r="G253">
            <v>2.0973921717610491</v>
          </cell>
          <cell r="H253">
            <v>2.7085044379494048</v>
          </cell>
          <cell r="I253">
            <v>4.1278542921242467</v>
          </cell>
          <cell r="J253">
            <v>5.7444404670440257</v>
          </cell>
        </row>
        <row r="254">
          <cell r="B254" t="str">
            <v>D-EWOD</v>
          </cell>
          <cell r="C254" t="str">
            <v>VAR_fin</v>
          </cell>
          <cell r="D254" t="str">
            <v>WOD</v>
          </cell>
          <cell r="E254">
            <v>3.5963003465499801</v>
          </cell>
          <cell r="F254">
            <v>2.5000623277349261</v>
          </cell>
          <cell r="G254">
            <v>2.0973921717610491</v>
          </cell>
          <cell r="H254">
            <v>2.7085044379494048</v>
          </cell>
          <cell r="I254">
            <v>4.1278542921242467</v>
          </cell>
          <cell r="J254">
            <v>5.7444404670440257</v>
          </cell>
        </row>
        <row r="255">
          <cell r="B255" t="str">
            <v>HPLWOD</v>
          </cell>
          <cell r="C255" t="str">
            <v>VAR_fout</v>
          </cell>
          <cell r="D255" t="str">
            <v>LTH</v>
          </cell>
          <cell r="E255">
            <v>1.8851919628290423</v>
          </cell>
          <cell r="F255">
            <v>1.7013798559936546</v>
          </cell>
          <cell r="G255">
            <v>1.4587357178157696</v>
          </cell>
          <cell r="H255">
            <v>1.8842957266719109</v>
          </cell>
          <cell r="I255">
            <v>1.1282161876652337</v>
          </cell>
          <cell r="J255">
            <v>0.67555009302145841</v>
          </cell>
        </row>
        <row r="256">
          <cell r="B256" t="str">
            <v>HPLWOD</v>
          </cell>
          <cell r="C256" t="str">
            <v>VAR_fin</v>
          </cell>
          <cell r="D256" t="str">
            <v>EWOD</v>
          </cell>
          <cell r="E256">
            <v>2.6931313754700605</v>
          </cell>
          <cell r="F256">
            <v>2.430542651419509</v>
          </cell>
          <cell r="G256">
            <v>2.0839081683082412</v>
          </cell>
          <cell r="H256">
            <v>2.6918510381027279</v>
          </cell>
          <cell r="I256">
            <v>1.6117374109503344</v>
          </cell>
          <cell r="J256">
            <v>0.96507156145922657</v>
          </cell>
        </row>
        <row r="257">
          <cell r="B257" t="str">
            <v>HPLWOD</v>
          </cell>
          <cell r="C257" t="str">
            <v>VAR_ncap</v>
          </cell>
          <cell r="D257" t="str">
            <v>-</v>
          </cell>
          <cell r="E257">
            <v>0.239129665732809</v>
          </cell>
          <cell r="F257">
            <v>3.4618003316769501E-6</v>
          </cell>
          <cell r="G257">
            <v>3.7164573940364302E-6</v>
          </cell>
          <cell r="H257">
            <v>4.1404315875799903E-6</v>
          </cell>
          <cell r="I257">
            <v>5.9557578145054399E-2</v>
          </cell>
          <cell r="J257">
            <v>2.61446378480082E-2</v>
          </cell>
        </row>
        <row r="258">
          <cell r="B258" t="str">
            <v>HPLWOD</v>
          </cell>
          <cell r="C258" t="str">
            <v>VAR_cap</v>
          </cell>
          <cell r="D258" t="str">
            <v>-</v>
          </cell>
          <cell r="E258">
            <v>0.239129665732809</v>
          </cell>
          <cell r="F258">
            <v>0.239133127533141</v>
          </cell>
          <cell r="G258">
            <v>0.239136843990535</v>
          </cell>
          <cell r="H258">
            <v>0.239140984422122</v>
          </cell>
          <cell r="I258">
            <v>0.14327065710658199</v>
          </cell>
          <cell r="J258">
            <v>8.5724222873134207E-2</v>
          </cell>
        </row>
        <row r="259">
          <cell r="B259" t="str">
            <v>ENGA-GTCC</v>
          </cell>
          <cell r="C259" t="str">
            <v>VAR_fout</v>
          </cell>
          <cell r="D259" t="str">
            <v>ELC13</v>
          </cell>
          <cell r="E259"/>
          <cell r="F259"/>
          <cell r="G259"/>
          <cell r="H259"/>
          <cell r="I259">
            <v>6.2454487437472718E-5</v>
          </cell>
          <cell r="J259">
            <v>1.9383487661392002E-3</v>
          </cell>
        </row>
        <row r="260">
          <cell r="B260" t="str">
            <v>ENGA-GTCC</v>
          </cell>
          <cell r="C260" t="str">
            <v>VAR_fout</v>
          </cell>
          <cell r="D260" t="str">
            <v>CO2_E</v>
          </cell>
          <cell r="E260"/>
          <cell r="F260"/>
          <cell r="G260"/>
          <cell r="H260"/>
          <cell r="I260">
            <v>6.7594532691950598E-3</v>
          </cell>
          <cell r="J260">
            <v>0.203497552325688</v>
          </cell>
        </row>
        <row r="261">
          <cell r="B261" t="str">
            <v>ENGA-GTCC</v>
          </cell>
          <cell r="C261" t="str">
            <v>VAR_fin</v>
          </cell>
          <cell r="D261" t="str">
            <v>ENGA</v>
          </cell>
          <cell r="E261"/>
          <cell r="F261"/>
          <cell r="G261"/>
          <cell r="H261"/>
          <cell r="I261">
            <v>1.1984846221977042E-4</v>
          </cell>
          <cell r="J261">
            <v>3.6081126298880845E-3</v>
          </cell>
        </row>
        <row r="262">
          <cell r="B262" t="str">
            <v>ENGA-GTCC</v>
          </cell>
          <cell r="C262" t="str">
            <v>VAR_fin</v>
          </cell>
          <cell r="D262" t="str">
            <v>GTC</v>
          </cell>
          <cell r="E262"/>
          <cell r="F262"/>
          <cell r="G262"/>
          <cell r="H262"/>
          <cell r="I262">
            <v>1.96035177734635E-5</v>
          </cell>
          <cell r="J262">
            <v>4.289620722277751E-4</v>
          </cell>
        </row>
        <row r="263">
          <cell r="B263" t="str">
            <v>ENGA-GTCC</v>
          </cell>
          <cell r="C263" t="str">
            <v>VAR_ncap</v>
          </cell>
          <cell r="D263" t="str">
            <v>-</v>
          </cell>
          <cell r="E263"/>
          <cell r="F263"/>
          <cell r="G263"/>
          <cell r="H263"/>
          <cell r="I263">
            <v>4.0714362348522501E-5</v>
          </cell>
          <cell r="J263">
            <v>5.2551258024800102E-4</v>
          </cell>
        </row>
        <row r="264">
          <cell r="B264" t="str">
            <v>ENGA-GTCC</v>
          </cell>
          <cell r="C264" t="str">
            <v>VAR_cap</v>
          </cell>
          <cell r="D264" t="str">
            <v>-</v>
          </cell>
          <cell r="E264"/>
          <cell r="F264"/>
          <cell r="G264"/>
          <cell r="H264"/>
          <cell r="I264">
            <v>1.96035177734635E-5</v>
          </cell>
          <cell r="J264">
            <v>4.2896207222777559E-4</v>
          </cell>
        </row>
        <row r="265">
          <cell r="B265" t="str">
            <v>D-SNGA</v>
          </cell>
          <cell r="C265" t="str">
            <v>VAR_fout</v>
          </cell>
          <cell r="D265" t="str">
            <v>CO2</v>
          </cell>
          <cell r="E265">
            <v>1524.6436714798199</v>
          </cell>
          <cell r="F265">
            <v>1523.84977005733</v>
          </cell>
          <cell r="G265">
            <v>1309.5693352902099</v>
          </cell>
          <cell r="H265">
            <v>1086.86555459442</v>
          </cell>
          <cell r="I265">
            <v>547.62716566164897</v>
          </cell>
          <cell r="J265">
            <v>276.45944352637002</v>
          </cell>
        </row>
        <row r="266">
          <cell r="B266" t="str">
            <v>D-SNGA</v>
          </cell>
          <cell r="C266" t="str">
            <v>VAR_fout</v>
          </cell>
          <cell r="D266" t="str">
            <v>SNGA</v>
          </cell>
          <cell r="E266">
            <v>27.251402196726016</v>
          </cell>
          <cell r="F266">
            <v>28.489435805525869</v>
          </cell>
          <cell r="G266">
            <v>24.18237551007881</v>
          </cell>
          <cell r="H266">
            <v>20.268141228577171</v>
          </cell>
          <cell r="I266">
            <v>11.559288934682064</v>
          </cell>
          <cell r="J266">
            <v>7.5540655320508323</v>
          </cell>
        </row>
        <row r="267">
          <cell r="B267" t="str">
            <v>D-SNGA</v>
          </cell>
          <cell r="C267" t="str">
            <v>VAR_fout</v>
          </cell>
          <cell r="D267" t="str">
            <v>RSH2</v>
          </cell>
          <cell r="E267"/>
          <cell r="F267"/>
          <cell r="G267"/>
          <cell r="H267">
            <v>1.2244572860975392E-2</v>
          </cell>
          <cell r="I267">
            <v>1.4565699508629773E-2</v>
          </cell>
          <cell r="J267">
            <v>1.8279181564090391E-3</v>
          </cell>
        </row>
        <row r="268">
          <cell r="B268" t="str">
            <v>D-SNGA</v>
          </cell>
          <cell r="C268" t="str">
            <v>VAR_fin</v>
          </cell>
          <cell r="D268" t="str">
            <v>NGA</v>
          </cell>
          <cell r="E268">
            <v>27.032689210635073</v>
          </cell>
          <cell r="F268">
            <v>27.018612944278839</v>
          </cell>
          <cell r="G268">
            <v>23.219314455500079</v>
          </cell>
          <cell r="H268">
            <v>19.270665861603259</v>
          </cell>
          <cell r="I268">
            <v>9.7097015188235627</v>
          </cell>
          <cell r="J268">
            <v>4.901763183091667</v>
          </cell>
        </row>
        <row r="269">
          <cell r="B269" t="str">
            <v>D-SNGA</v>
          </cell>
          <cell r="C269" t="str">
            <v>VAR_fin</v>
          </cell>
          <cell r="D269" t="str">
            <v>BNGA</v>
          </cell>
          <cell r="E269">
            <v>0.30577084935075477</v>
          </cell>
          <cell r="F269">
            <v>1.5618357709242383</v>
          </cell>
          <cell r="G269">
            <v>1.040314545069114</v>
          </cell>
          <cell r="H269">
            <v>1.0623689908707095</v>
          </cell>
          <cell r="I269">
            <v>1.8866601381381731</v>
          </cell>
          <cell r="J269">
            <v>2.6769537929189551</v>
          </cell>
        </row>
        <row r="270">
          <cell r="B270" t="str">
            <v>D-SNGA</v>
          </cell>
          <cell r="C270" t="str">
            <v>VAR_fin</v>
          </cell>
          <cell r="D270" t="str">
            <v>H2</v>
          </cell>
          <cell r="E270"/>
          <cell r="F270"/>
          <cell r="G270"/>
          <cell r="H270">
            <v>1.2242712545203658E-2</v>
          </cell>
          <cell r="I270">
            <v>1.4543124743076726E-2</v>
          </cell>
          <cell r="J270">
            <v>1.8079650543988556E-3</v>
          </cell>
        </row>
        <row r="271">
          <cell r="B271" t="str">
            <v>D-SNGA</v>
          </cell>
          <cell r="C271" t="str">
            <v>VAR_ncap</v>
          </cell>
          <cell r="D271" t="str">
            <v>-</v>
          </cell>
          <cell r="E271">
            <v>3.4083514067659299E-6</v>
          </cell>
          <cell r="F271">
            <v>4.0806143702612E-7</v>
          </cell>
          <cell r="G271">
            <v>5.6522970806140797E-7</v>
          </cell>
          <cell r="H271">
            <v>7.9286270775337301E-7</v>
          </cell>
          <cell r="I271">
            <v>1.7359569223800601E-6</v>
          </cell>
          <cell r="J271">
            <v>3.0370694002798102E-6</v>
          </cell>
        </row>
        <row r="272">
          <cell r="B272" t="str">
            <v>D-SNGA</v>
          </cell>
          <cell r="C272" t="str">
            <v>VAR_cap</v>
          </cell>
          <cell r="D272" t="str">
            <v>-</v>
          </cell>
          <cell r="E272">
            <v>2.2350556099765471</v>
          </cell>
          <cell r="F272">
            <v>2.2350560180379841</v>
          </cell>
          <cell r="G272">
            <v>2.2350565832676921</v>
          </cell>
          <cell r="H272">
            <v>2.2350573761303996</v>
          </cell>
          <cell r="I272">
            <v>2.2350604661485445</v>
          </cell>
          <cell r="J272">
            <v>1.1209018040816647</v>
          </cell>
        </row>
        <row r="273">
          <cell r="B273" t="str">
            <v>RHES-CHPWOD</v>
          </cell>
          <cell r="C273" t="str">
            <v>VAR_fout</v>
          </cell>
          <cell r="D273" t="str">
            <v>RHES_KEV_WOD_ELC_CHP</v>
          </cell>
          <cell r="E273"/>
          <cell r="F273"/>
          <cell r="G273"/>
          <cell r="H273">
            <v>1.0546389665542757E-3</v>
          </cell>
          <cell r="I273">
            <v>2.6958033416655358E-3</v>
          </cell>
          <cell r="J273">
            <v>1.1626507162667927E-3</v>
          </cell>
        </row>
        <row r="274">
          <cell r="B274" t="str">
            <v>RHES-CHPWOD</v>
          </cell>
          <cell r="C274" t="str">
            <v>VAR_fout</v>
          </cell>
          <cell r="D274" t="str">
            <v>RHES_LTH_CHPWOD</v>
          </cell>
          <cell r="E274"/>
          <cell r="F274"/>
          <cell r="G274"/>
          <cell r="H274">
            <v>2.8470694181373215E-3</v>
          </cell>
          <cell r="I274">
            <v>6.9767806521401996E-3</v>
          </cell>
          <cell r="J274">
            <v>2.8895549015971315E-3</v>
          </cell>
        </row>
        <row r="275">
          <cell r="B275" t="str">
            <v>RHES-CHPWOD</v>
          </cell>
          <cell r="C275" t="str">
            <v>VAR_fin</v>
          </cell>
          <cell r="D275" t="str">
            <v>RWOD</v>
          </cell>
          <cell r="E275"/>
          <cell r="F275"/>
          <cell r="G275"/>
          <cell r="H275">
            <v>5.2603157707838931E-3</v>
          </cell>
          <cell r="I275">
            <v>1.1874086009529302E-2</v>
          </cell>
          <cell r="J275">
            <v>5.0261734105860852E-3</v>
          </cell>
        </row>
        <row r="276">
          <cell r="B276" t="str">
            <v>RHES-CHPWOD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>
            <v>9.3644472082604995E-5</v>
          </cell>
          <cell r="I276">
            <v>8.43183044020008E-5</v>
          </cell>
          <cell r="J276">
            <v>3.6228989115296701E-6</v>
          </cell>
        </row>
        <row r="277">
          <cell r="B277" t="str">
            <v>RHES-CHPWOD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>
            <v>9.3644472082604995E-5</v>
          </cell>
          <cell r="I277">
            <v>2.3931121048131345E-4</v>
          </cell>
          <cell r="J277">
            <v>1.0327170921207709E-4</v>
          </cell>
        </row>
        <row r="278">
          <cell r="B278" t="str">
            <v>G-INTC-RES</v>
          </cell>
          <cell r="C278" t="str">
            <v>VAR_fout</v>
          </cell>
          <cell r="D278" t="str">
            <v>RHNS_ELC</v>
          </cell>
          <cell r="E278">
            <v>14.327208725087111</v>
          </cell>
          <cell r="F278">
            <v>14.911539547902919</v>
          </cell>
          <cell r="G278">
            <v>15.468050756781441</v>
          </cell>
          <cell r="H278">
            <v>17.198427236447284</v>
          </cell>
          <cell r="I278">
            <v>20.174593426469102</v>
          </cell>
          <cell r="J278">
            <v>19.638313913775367</v>
          </cell>
        </row>
        <row r="279">
          <cell r="B279" t="str">
            <v>G-INTC-RES</v>
          </cell>
          <cell r="C279" t="str">
            <v>VAR_fout</v>
          </cell>
          <cell r="D279" t="str">
            <v>ELC35</v>
          </cell>
          <cell r="E279">
            <v>14.7577271462275</v>
          </cell>
          <cell r="F279">
            <v>1.2065603212443385E-2</v>
          </cell>
          <cell r="G279">
            <v>2.0609913394697931E-2</v>
          </cell>
          <cell r="H279">
            <v>2.5645868984263499E-2</v>
          </cell>
          <cell r="I279">
            <v>0.4004030658447254</v>
          </cell>
          <cell r="J279">
            <v>0.43301196724568047</v>
          </cell>
        </row>
        <row r="280">
          <cell r="B280" t="str">
            <v>G-INTC-RES</v>
          </cell>
          <cell r="C280" t="str">
            <v>VAR_fout</v>
          </cell>
          <cell r="D280" t="str">
            <v>RHES_ELC</v>
          </cell>
          <cell r="E280">
            <v>22.538156929725982</v>
          </cell>
          <cell r="F280">
            <v>19.130917442185122</v>
          </cell>
          <cell r="G280">
            <v>19.329524243473838</v>
          </cell>
          <cell r="H280">
            <v>19.538239946731476</v>
          </cell>
          <cell r="I280">
            <v>22.17876695290424</v>
          </cell>
          <cell r="J280">
            <v>22.781440123241588</v>
          </cell>
        </row>
        <row r="281">
          <cell r="B281" t="str">
            <v>G-INTC-RES</v>
          </cell>
          <cell r="C281" t="str">
            <v>VAR_fout</v>
          </cell>
          <cell r="D281" t="str">
            <v>RHNM_ELC</v>
          </cell>
          <cell r="E281">
            <v>10.02125488411202</v>
          </cell>
          <cell r="F281">
            <v>14.937695143877571</v>
          </cell>
          <cell r="G281">
            <v>15.067631453629328</v>
          </cell>
          <cell r="H281">
            <v>16.130202302637329</v>
          </cell>
          <cell r="I281">
            <v>18.804434139674932</v>
          </cell>
          <cell r="J281">
            <v>18.168774750475311</v>
          </cell>
        </row>
        <row r="282">
          <cell r="B282" t="str">
            <v>G-INTC-RES</v>
          </cell>
          <cell r="C282" t="str">
            <v>VAR_fout</v>
          </cell>
          <cell r="D282" t="str">
            <v>RHEM_ELC</v>
          </cell>
          <cell r="E282">
            <v>23.354502853279371</v>
          </cell>
          <cell r="F282">
            <v>19.000498686728179</v>
          </cell>
          <cell r="G282">
            <v>16.723501582125401</v>
          </cell>
          <cell r="H282">
            <v>18.399392471137553</v>
          </cell>
          <cell r="I282">
            <v>21.669783319595126</v>
          </cell>
          <cell r="J282">
            <v>20.595743853861375</v>
          </cell>
        </row>
        <row r="283">
          <cell r="B283" t="str">
            <v>G-INTC-RES</v>
          </cell>
          <cell r="C283" t="str">
            <v>VAR_fin</v>
          </cell>
          <cell r="D283" t="str">
            <v>ELC5</v>
          </cell>
          <cell r="E283">
            <v>84.998651840401408</v>
          </cell>
          <cell r="F283">
            <v>67.992716423906231</v>
          </cell>
          <cell r="G283">
            <v>66.609317949404669</v>
          </cell>
          <cell r="H283">
            <v>71.291907825937855</v>
          </cell>
          <cell r="I283">
            <v>83.22798090448812</v>
          </cell>
          <cell r="J283">
            <v>81.617284608599306</v>
          </cell>
        </row>
        <row r="284">
          <cell r="B284" t="str">
            <v>G-INTC-RES</v>
          </cell>
          <cell r="C284" t="str">
            <v>VAR_ncap</v>
          </cell>
          <cell r="D284" t="str">
            <v>-</v>
          </cell>
          <cell r="E284">
            <v>2.1839629075484899E-7</v>
          </cell>
          <cell r="F284">
            <v>2.2879208601094599E-7</v>
          </cell>
          <cell r="G284">
            <v>2.6262035886892698E-7</v>
          </cell>
          <cell r="H284">
            <v>1.18950108781663E-6</v>
          </cell>
          <cell r="I284">
            <v>3.3357899345188398E-7</v>
          </cell>
          <cell r="J284">
            <v>5.7803101676558605E-7</v>
          </cell>
        </row>
        <row r="285">
          <cell r="B285" t="str">
            <v>G-INTC-RES</v>
          </cell>
          <cell r="C285" t="str">
            <v>VAR_cap</v>
          </cell>
          <cell r="D285" t="str">
            <v>-</v>
          </cell>
          <cell r="E285">
            <v>4.3300925142827298</v>
          </cell>
          <cell r="F285">
            <v>4.3300925852914807</v>
          </cell>
          <cell r="G285">
            <v>4.3300929614711068</v>
          </cell>
          <cell r="H285">
            <v>4.3300938785422858</v>
          </cell>
          <cell r="I285">
            <v>4.330094862746285</v>
          </cell>
          <cell r="J285">
            <v>4.3300954634328006</v>
          </cell>
        </row>
        <row r="286">
          <cell r="B286" t="str">
            <v>SCOM-CHPNGA</v>
          </cell>
          <cell r="C286" t="str">
            <v>VAR_fout</v>
          </cell>
          <cell r="D286" t="str">
            <v>CO2_S</v>
          </cell>
          <cell r="E286">
            <v>96.032357806702905</v>
          </cell>
          <cell r="F286">
            <v>98.1158853600556</v>
          </cell>
          <cell r="G286">
            <v>2.1571059240367201</v>
          </cell>
          <cell r="H286">
            <v>0.34637189701149701</v>
          </cell>
          <cell r="I286">
            <v>0.31043878611122</v>
          </cell>
          <cell r="J286"/>
        </row>
        <row r="287">
          <cell r="B287" t="str">
            <v>SCOM-CHPNGA</v>
          </cell>
          <cell r="C287" t="str">
            <v>VAR_fout</v>
          </cell>
          <cell r="D287" t="str">
            <v>SCOM_NKEV_GAS_ELC_CHP</v>
          </cell>
          <cell r="E287">
            <v>0.59443534543004661</v>
          </cell>
          <cell r="F287">
            <v>0.62612792861911226</v>
          </cell>
          <cell r="G287">
            <v>1.0572935086227702E-2</v>
          </cell>
          <cell r="H287">
            <v>2.0194399227131178E-3</v>
          </cell>
          <cell r="I287">
            <v>1.7965336714741678E-3</v>
          </cell>
          <cell r="J287"/>
        </row>
        <row r="288">
          <cell r="B288" t="str">
            <v>SCOM-CHPNGA</v>
          </cell>
          <cell r="C288" t="str">
            <v>VAR_fout</v>
          </cell>
          <cell r="D288" t="str">
            <v>SCOM_LTH_CHPNGA</v>
          </cell>
          <cell r="E288">
            <v>0.69261991870897899</v>
          </cell>
          <cell r="F288">
            <v>0.75051171953190676</v>
          </cell>
          <cell r="G288">
            <v>1.3204357407590123E-2</v>
          </cell>
          <cell r="H288">
            <v>2.6910782154470109E-3</v>
          </cell>
          <cell r="I288">
            <v>2.6948005072112524E-3</v>
          </cell>
          <cell r="J288"/>
        </row>
        <row r="289">
          <cell r="B289" t="str">
            <v>SCOM-CHPNGA</v>
          </cell>
          <cell r="C289" t="str">
            <v>VAR_fin</v>
          </cell>
          <cell r="D289" t="str">
            <v>SNGA</v>
          </cell>
          <cell r="E289">
            <v>1.7027013795514683</v>
          </cell>
          <cell r="F289">
            <v>1.7396433574477947</v>
          </cell>
          <cell r="G289">
            <v>3.8246558936821259E-2</v>
          </cell>
          <cell r="H289">
            <v>6.1413456916932152E-3</v>
          </cell>
          <cell r="I289">
            <v>5.5042337962982191E-3</v>
          </cell>
          <cell r="J289"/>
        </row>
        <row r="290">
          <cell r="B290" t="str">
            <v>SCOM-CHPNGA</v>
          </cell>
          <cell r="C290" t="str">
            <v>VAR_ncap</v>
          </cell>
          <cell r="D290" t="str">
            <v>-</v>
          </cell>
          <cell r="E290"/>
          <cell r="F290">
            <v>2.71734149078895E-2</v>
          </cell>
          <cell r="G290"/>
          <cell r="H290"/>
          <cell r="I290"/>
          <cell r="J290"/>
        </row>
        <row r="291">
          <cell r="B291" t="str">
            <v>SCOM-CHPNGA</v>
          </cell>
          <cell r="C291" t="str">
            <v>VAR_cap</v>
          </cell>
          <cell r="D291" t="str">
            <v>-</v>
          </cell>
          <cell r="E291">
            <v>6.519926786226457E-2</v>
          </cell>
          <cell r="F291">
            <v>4.7877278791953207E-2</v>
          </cell>
          <cell r="G291">
            <v>1.7085134303354982E-3</v>
          </cell>
          <cell r="H291">
            <v>3.2866812899889908E-4</v>
          </cell>
          <cell r="I291">
            <v>1.7017654786140139E-4</v>
          </cell>
          <cell r="J291"/>
        </row>
        <row r="292">
          <cell r="B292" t="str">
            <v>D-IPLT</v>
          </cell>
          <cell r="C292" t="str">
            <v>VAR_fout</v>
          </cell>
          <cell r="D292" t="str">
            <v>IPLT</v>
          </cell>
          <cell r="E292">
            <v>0.62582624222644578</v>
          </cell>
          <cell r="F292">
            <v>0.73758790882719549</v>
          </cell>
          <cell r="G292">
            <v>0.73650827749708303</v>
          </cell>
          <cell r="H292">
            <v>0.73449143201984479</v>
          </cell>
          <cell r="I292">
            <v>0.7304284605068827</v>
          </cell>
          <cell r="J292">
            <v>0.72637415529677496</v>
          </cell>
        </row>
        <row r="293">
          <cell r="B293" t="str">
            <v>D-IPLT</v>
          </cell>
          <cell r="C293" t="str">
            <v>VAR_fin</v>
          </cell>
          <cell r="D293" t="str">
            <v>PLT</v>
          </cell>
          <cell r="E293">
            <v>0.62582624222644578</v>
          </cell>
          <cell r="F293">
            <v>0.73758790882719549</v>
          </cell>
          <cell r="G293">
            <v>0.73650827749708303</v>
          </cell>
          <cell r="H293">
            <v>0.73449143201984479</v>
          </cell>
          <cell r="I293">
            <v>0.7304284605068827</v>
          </cell>
          <cell r="J293">
            <v>0.72637415529677496</v>
          </cell>
        </row>
        <row r="294">
          <cell r="B294" t="str">
            <v>LTH-STG</v>
          </cell>
          <cell r="C294" t="str">
            <v>VAR_fout</v>
          </cell>
          <cell r="D294" t="str">
            <v>AUX_LTH-STG_OUT</v>
          </cell>
          <cell r="E294">
            <v>1.8920569732226684E-4</v>
          </cell>
          <cell r="F294">
            <v>2.5908931740276694E-3</v>
          </cell>
          <cell r="G294">
            <v>1.2312558164419356E-2</v>
          </cell>
          <cell r="H294">
            <v>1.8281059886779008E-3</v>
          </cell>
          <cell r="I294">
            <v>4.0444992795522269E-3</v>
          </cell>
          <cell r="J294">
            <v>0.34137110186195024</v>
          </cell>
        </row>
        <row r="295">
          <cell r="B295" t="str">
            <v>LTH-STG</v>
          </cell>
          <cell r="C295" t="str">
            <v>VAR_fout</v>
          </cell>
          <cell r="D295" t="str">
            <v>LTH</v>
          </cell>
          <cell r="E295">
            <v>1.8920569732226632E-4</v>
          </cell>
          <cell r="F295">
            <v>2.5926204361436827E-3</v>
          </cell>
          <cell r="G295">
            <v>1.2325383745840617E-2</v>
          </cell>
          <cell r="H295">
            <v>1.8281059886779008E-3</v>
          </cell>
          <cell r="I295">
            <v>4.0444992795522104E-3</v>
          </cell>
          <cell r="J295">
            <v>0.34137110186194991</v>
          </cell>
        </row>
        <row r="296">
          <cell r="B296" t="str">
            <v>LTH-STG</v>
          </cell>
          <cell r="C296" t="str">
            <v>VAR_fin</v>
          </cell>
          <cell r="D296" t="str">
            <v>AUX_LTH-STG_IN</v>
          </cell>
          <cell r="E296">
            <v>2.4288456807240134E-4</v>
          </cell>
          <cell r="F296">
            <v>3.4083594947684581E-3</v>
          </cell>
          <cell r="G296">
            <v>1.5910763369945423E-2</v>
          </cell>
          <cell r="H296">
            <v>2.2891142946133035E-3</v>
          </cell>
          <cell r="I296">
            <v>4.7659846495475599E-3</v>
          </cell>
          <cell r="J296">
            <v>0.37930477113790068</v>
          </cell>
        </row>
        <row r="297">
          <cell r="B297" t="str">
            <v>LTH-STG</v>
          </cell>
          <cell r="C297" t="str">
            <v>VAR_fin</v>
          </cell>
          <cell r="D297" t="str">
            <v>LTH</v>
          </cell>
          <cell r="E297">
            <v>2.4288456807240134E-4</v>
          </cell>
          <cell r="F297">
            <v>3.4083594947684581E-3</v>
          </cell>
          <cell r="G297">
            <v>1.5910763369945423E-2</v>
          </cell>
          <cell r="H297">
            <v>2.2891142946133035E-3</v>
          </cell>
          <cell r="I297">
            <v>4.7659846495475599E-3</v>
          </cell>
          <cell r="J297">
            <v>0.37930477113790068</v>
          </cell>
        </row>
        <row r="298">
          <cell r="B298" t="str">
            <v>LTH-STG</v>
          </cell>
          <cell r="C298" t="str">
            <v>VAR_ncap</v>
          </cell>
          <cell r="D298" t="str">
            <v>-</v>
          </cell>
          <cell r="E298">
            <v>6.2932814227460796E-4</v>
          </cell>
          <cell r="F298">
            <v>1.1206675486439501E-5</v>
          </cell>
          <cell r="G298">
            <v>7.1861477510425996E-6</v>
          </cell>
          <cell r="H298">
            <v>5.2698142907328096E-6</v>
          </cell>
          <cell r="I298">
            <v>3.7449975320637502E-4</v>
          </cell>
          <cell r="J298">
            <v>4.67816286116658E-2</v>
          </cell>
        </row>
        <row r="299">
          <cell r="B299" t="str">
            <v>LTH-STG</v>
          </cell>
          <cell r="C299" t="str">
            <v>VAR_cap</v>
          </cell>
          <cell r="D299" t="str">
            <v>-</v>
          </cell>
          <cell r="E299">
            <v>7.9314868273656642E-4</v>
          </cell>
          <cell r="F299">
            <v>8.0065218471752752E-4</v>
          </cell>
          <cell r="G299">
            <v>8.0175786078560702E-4</v>
          </cell>
          <cell r="H299">
            <v>6.3507115031813453E-4</v>
          </cell>
          <cell r="I299">
            <v>6.0345625960121459E-4</v>
          </cell>
          <cell r="J299">
            <v>4.716985562659292E-2</v>
          </cell>
        </row>
        <row r="300">
          <cell r="B300" t="str">
            <v>ITOT-CHPOIL</v>
          </cell>
          <cell r="C300" t="str">
            <v>VAR_fout</v>
          </cell>
          <cell r="D300" t="str">
            <v>ITOT_LTH_CHP</v>
          </cell>
          <cell r="E300">
            <v>0.92963962879335293</v>
          </cell>
          <cell r="F300">
            <v>2.0475195887951205</v>
          </cell>
          <cell r="G300">
            <v>0.10363415971910069</v>
          </cell>
          <cell r="H300">
            <v>1.3098492239126671</v>
          </cell>
          <cell r="I300"/>
          <cell r="J300"/>
        </row>
        <row r="301">
          <cell r="B301" t="str">
            <v>ITOT-CHPOIL</v>
          </cell>
          <cell r="C301" t="str">
            <v>VAR_fout</v>
          </cell>
          <cell r="D301" t="str">
            <v>ITOT_NKEV_OIL_ELC_CHP</v>
          </cell>
          <cell r="E301">
            <v>7.0524385632599176E-2</v>
          </cell>
          <cell r="F301">
            <v>0.16942220486314835</v>
          </cell>
          <cell r="G301">
            <v>9.9261267822713228E-3</v>
          </cell>
          <cell r="H301">
            <v>0.17012643818206627</v>
          </cell>
          <cell r="I301"/>
          <cell r="J301"/>
        </row>
        <row r="302">
          <cell r="B302" t="str">
            <v>ITOT-CHPOIL</v>
          </cell>
          <cell r="C302" t="str">
            <v>VAR_fout</v>
          </cell>
          <cell r="D302" t="str">
            <v>CO2_I</v>
          </cell>
          <cell r="E302">
            <v>23.028317574440099</v>
          </cell>
          <cell r="F302">
            <v>50.708333062178099</v>
          </cell>
          <cell r="G302">
            <v>3.25681147780096</v>
          </cell>
          <cell r="H302">
            <v>47.622944917082599</v>
          </cell>
          <cell r="I302"/>
          <cell r="J302"/>
        </row>
        <row r="303">
          <cell r="B303" t="str">
            <v>ITOT-CHPOIL</v>
          </cell>
          <cell r="C303" t="str">
            <v>VAR_fin</v>
          </cell>
          <cell r="D303" t="str">
            <v>ILFO</v>
          </cell>
          <cell r="E303">
            <v>0.31246021132211765</v>
          </cell>
          <cell r="F303">
            <v>0.68803708361164395</v>
          </cell>
          <cell r="G303">
            <v>4.4190115031220695E-2</v>
          </cell>
          <cell r="H303">
            <v>0.64617292967547657</v>
          </cell>
          <cell r="I303"/>
          <cell r="J303"/>
        </row>
        <row r="304">
          <cell r="B304" t="str">
            <v>ITOT-CHPOIL</v>
          </cell>
          <cell r="C304" t="str">
            <v>VAR_ncap</v>
          </cell>
          <cell r="D304" t="str">
            <v>-</v>
          </cell>
          <cell r="E304"/>
          <cell r="F304">
            <v>2.2133799788999601E-2</v>
          </cell>
          <cell r="G304"/>
          <cell r="H304"/>
          <cell r="I304"/>
          <cell r="J304"/>
        </row>
        <row r="305">
          <cell r="B305" t="str">
            <v>ITOT-CHPOIL</v>
          </cell>
          <cell r="C305" t="str">
            <v>VAR_cap</v>
          </cell>
          <cell r="D305" t="str">
            <v>-</v>
          </cell>
          <cell r="E305">
            <v>8.3026350789480174E-3</v>
          </cell>
          <cell r="F305">
            <v>2.3062045465342514E-2</v>
          </cell>
          <cell r="G305">
            <v>2.3059109658048291E-2</v>
          </cell>
          <cell r="H305">
            <v>2.3057338839570684E-2</v>
          </cell>
          <cell r="I305"/>
          <cell r="J305"/>
        </row>
        <row r="306">
          <cell r="B306" t="str">
            <v>ENUC_GOE</v>
          </cell>
          <cell r="C306" t="str">
            <v>VAR_fout</v>
          </cell>
          <cell r="D306" t="str">
            <v>ELC</v>
          </cell>
          <cell r="E306">
            <v>29.714404678931793</v>
          </cell>
          <cell r="F306">
            <v>29.714380489654641</v>
          </cell>
          <cell r="G306">
            <v>26.143962666707051</v>
          </cell>
          <cell r="H306">
            <v>29.68881296181986</v>
          </cell>
          <cell r="I306"/>
          <cell r="J306"/>
        </row>
        <row r="307">
          <cell r="B307" t="str">
            <v>ENUC_GOE</v>
          </cell>
          <cell r="C307" t="str">
            <v>VAR_fin</v>
          </cell>
          <cell r="D307" t="str">
            <v>URN</v>
          </cell>
          <cell r="E307">
            <v>89.58058945938518</v>
          </cell>
          <cell r="F307">
            <v>89.580516535504486</v>
          </cell>
          <cell r="G307">
            <v>78.8167089932751</v>
          </cell>
          <cell r="H307">
            <v>89.503437615727691</v>
          </cell>
          <cell r="I307"/>
          <cell r="J307"/>
        </row>
        <row r="308">
          <cell r="B308" t="str">
            <v>ENUC_GOE</v>
          </cell>
          <cell r="C308" t="str">
            <v>VAR_cap</v>
          </cell>
          <cell r="D308" t="str">
            <v>-</v>
          </cell>
          <cell r="E308">
            <v>1.0099999135397986</v>
          </cell>
          <cell r="F308">
            <v>1.0099998204506457</v>
          </cell>
          <cell r="G308">
            <v>1.0099998756805977</v>
          </cell>
          <cell r="H308">
            <v>1.0099998559365349</v>
          </cell>
          <cell r="I308"/>
          <cell r="J308"/>
        </row>
        <row r="309">
          <cell r="B309" t="str">
            <v>D-RNGA</v>
          </cell>
          <cell r="C309" t="str">
            <v>VAR_fout</v>
          </cell>
          <cell r="D309" t="str">
            <v>CO2</v>
          </cell>
          <cell r="E309">
            <v>2656.57187888419</v>
          </cell>
          <cell r="F309">
            <v>2625.7414995754498</v>
          </cell>
          <cell r="G309">
            <v>2616.3751255413599</v>
          </cell>
          <cell r="H309">
            <v>2145.7568428703198</v>
          </cell>
          <cell r="I309">
            <v>1073.49080144251</v>
          </cell>
          <cell r="J309">
            <v>649.645560739036</v>
          </cell>
        </row>
        <row r="310">
          <cell r="B310" t="str">
            <v>D-RNGA</v>
          </cell>
          <cell r="C310" t="str">
            <v>VAR_fout</v>
          </cell>
          <cell r="D310" t="str">
            <v>RNGA</v>
          </cell>
          <cell r="E310">
            <v>47.261137998623802</v>
          </cell>
          <cell r="F310">
            <v>48.283065451064765</v>
          </cell>
          <cell r="G310">
            <v>47.531743780597211</v>
          </cell>
          <cell r="H310">
            <v>39.458577483976285</v>
          </cell>
          <cell r="I310">
            <v>22.592027729819872</v>
          </cell>
          <cell r="J310">
            <v>15.57083850702357</v>
          </cell>
        </row>
        <row r="311">
          <cell r="B311" t="str">
            <v>D-RNGA</v>
          </cell>
          <cell r="C311" t="str">
            <v>VAR_fout</v>
          </cell>
          <cell r="D311" t="str">
            <v>RSH2</v>
          </cell>
          <cell r="E311"/>
          <cell r="F311"/>
          <cell r="G311"/>
          <cell r="H311">
            <v>1.3846060625595662E-2</v>
          </cell>
          <cell r="I311">
            <v>3.5502949079095812E-2</v>
          </cell>
          <cell r="J311">
            <v>5.0965989217334638E-3</v>
          </cell>
        </row>
        <row r="312">
          <cell r="B312" t="str">
            <v>D-RNGA</v>
          </cell>
          <cell r="C312" t="str">
            <v>VAR_fin</v>
          </cell>
          <cell r="D312" t="str">
            <v>NGA</v>
          </cell>
          <cell r="E312">
            <v>47.102338278088425</v>
          </cell>
          <cell r="F312">
            <v>46.555700347082336</v>
          </cell>
          <cell r="G312">
            <v>46.389629885485171</v>
          </cell>
          <cell r="H312">
            <v>38.045334093445334</v>
          </cell>
          <cell r="I312">
            <v>19.033524848271497</v>
          </cell>
          <cell r="J312">
            <v>11.518538310975808</v>
          </cell>
        </row>
        <row r="313">
          <cell r="B313" t="str">
            <v>D-RNGA</v>
          </cell>
          <cell r="C313" t="str">
            <v>VAR_fin</v>
          </cell>
          <cell r="D313" t="str">
            <v>BNGA</v>
          </cell>
          <cell r="E313">
            <v>0.30978107773988661</v>
          </cell>
          <cell r="F313">
            <v>1.8816111306440719</v>
          </cell>
          <cell r="G313">
            <v>1.2939597348483509</v>
          </cell>
          <cell r="H313">
            <v>1.5394782816008974</v>
          </cell>
          <cell r="I313">
            <v>3.6309080936934204</v>
          </cell>
          <cell r="J313">
            <v>4.1025930628518674</v>
          </cell>
        </row>
        <row r="314">
          <cell r="B314" t="str">
            <v>D-RNGA</v>
          </cell>
          <cell r="C314" t="str">
            <v>VAR_fin</v>
          </cell>
          <cell r="D314" t="str">
            <v>H2</v>
          </cell>
          <cell r="E314"/>
          <cell r="F314"/>
          <cell r="G314"/>
          <cell r="H314">
            <v>1.3843714873653032E-2</v>
          </cell>
          <cell r="I314">
            <v>3.5483115973850628E-2</v>
          </cell>
          <cell r="J314">
            <v>5.0862510578014997E-3</v>
          </cell>
        </row>
        <row r="315">
          <cell r="B315" t="str">
            <v>D-RNGA</v>
          </cell>
          <cell r="C315" t="str">
            <v>VAR_ncap</v>
          </cell>
          <cell r="D315" t="str">
            <v>-</v>
          </cell>
          <cell r="E315">
            <v>8.1970972132370504E-7</v>
          </cell>
          <cell r="F315">
            <v>2.2734900979806699E-7</v>
          </cell>
          <cell r="G315">
            <v>2.87489967801938E-7</v>
          </cell>
          <cell r="H315">
            <v>2.5767479866335803E-7</v>
          </cell>
          <cell r="I315">
            <v>5.2581215539379605E-7</v>
          </cell>
          <cell r="J315">
            <v>9.0406976129160396E-7</v>
          </cell>
        </row>
        <row r="316">
          <cell r="B316" t="str">
            <v>D-RNGA</v>
          </cell>
          <cell r="C316" t="str">
            <v>VAR_cap</v>
          </cell>
          <cell r="D316" t="str">
            <v>-</v>
          </cell>
          <cell r="E316">
            <v>3.0972408271056415</v>
          </cell>
          <cell r="F316">
            <v>3.0972410544546514</v>
          </cell>
          <cell r="G316">
            <v>3.0972413419446192</v>
          </cell>
          <cell r="H316">
            <v>3.0972415996194176</v>
          </cell>
          <cell r="I316">
            <v>3.097242529620305</v>
          </cell>
          <cell r="J316">
            <v>1.5532856743303662</v>
          </cell>
        </row>
        <row r="317">
          <cell r="B317" t="str">
            <v>ITOT-CHPHFC</v>
          </cell>
          <cell r="C317" t="str">
            <v>VAR_fout</v>
          </cell>
          <cell r="D317" t="str">
            <v>ITOT_LTH_CHP</v>
          </cell>
          <cell r="E317"/>
          <cell r="F317"/>
          <cell r="G317"/>
          <cell r="H317"/>
          <cell r="I317">
            <v>0.15248916213274136</v>
          </cell>
          <cell r="J317">
            <v>0.1005597947137882</v>
          </cell>
        </row>
        <row r="318">
          <cell r="B318" t="str">
            <v>ITOT-CHPHFC</v>
          </cell>
          <cell r="C318" t="str">
            <v>VAR_fout</v>
          </cell>
          <cell r="D318" t="str">
            <v>ITOT_KEV_HFC_ELC_CHP</v>
          </cell>
          <cell r="E318"/>
          <cell r="F318"/>
          <cell r="G318"/>
          <cell r="H318"/>
          <cell r="I318">
            <v>0.2541486035545687</v>
          </cell>
          <cell r="J318">
            <v>0.20111958942757635</v>
          </cell>
        </row>
        <row r="319">
          <cell r="B319" t="str">
            <v>ITOT-CHPHFC</v>
          </cell>
          <cell r="C319" t="str">
            <v>VAR_fin</v>
          </cell>
          <cell r="D319" t="str">
            <v>IH2</v>
          </cell>
          <cell r="E319"/>
          <cell r="F319"/>
          <cell r="G319"/>
          <cell r="H319"/>
          <cell r="I319">
            <v>0.46208837009921594</v>
          </cell>
          <cell r="J319">
            <v>0.33519931571262757</v>
          </cell>
        </row>
        <row r="320">
          <cell r="B320" t="str">
            <v>ITOT-CHPHFC</v>
          </cell>
          <cell r="C320" t="str">
            <v>VAR_ncap</v>
          </cell>
          <cell r="D320" t="str">
            <v>-</v>
          </cell>
          <cell r="E320"/>
          <cell r="F320"/>
          <cell r="G320"/>
          <cell r="H320"/>
          <cell r="I320">
            <v>1.77619459924243E-6</v>
          </cell>
          <cell r="J320">
            <v>1.54535189744509E-3</v>
          </cell>
        </row>
        <row r="321">
          <cell r="B321" t="str">
            <v>ITOT-CHPHFC</v>
          </cell>
          <cell r="C321" t="str">
            <v>VAR_cap</v>
          </cell>
          <cell r="D321" t="str">
            <v>-</v>
          </cell>
          <cell r="E321"/>
          <cell r="F321"/>
          <cell r="G321"/>
          <cell r="H321"/>
          <cell r="I321">
            <v>6.0316935560079075E-2</v>
          </cell>
          <cell r="J321">
            <v>2.7059214742532409E-2</v>
          </cell>
        </row>
        <row r="322">
          <cell r="B322" t="str">
            <v>G-INTC-TRA</v>
          </cell>
          <cell r="C322" t="str">
            <v>VAR_fout</v>
          </cell>
          <cell r="D322" t="str">
            <v>TRAN_ELC</v>
          </cell>
          <cell r="E322">
            <v>6.9106811465941975</v>
          </cell>
          <cell r="F322">
            <v>12.20206385143192</v>
          </cell>
          <cell r="G322">
            <v>15.302846303096581</v>
          </cell>
          <cell r="H322">
            <v>23.74094618165784</v>
          </cell>
          <cell r="I322">
            <v>23.24956755135322</v>
          </cell>
          <cell r="J322">
            <v>23.314923114029053</v>
          </cell>
        </row>
        <row r="323">
          <cell r="B323" t="str">
            <v>G-INTC-TRA</v>
          </cell>
          <cell r="C323" t="str">
            <v>VAR_fin</v>
          </cell>
          <cell r="D323" t="str">
            <v>ELC3</v>
          </cell>
          <cell r="E323">
            <v>6.3790902891638739</v>
          </cell>
          <cell r="F323">
            <v>12.191251191335667</v>
          </cell>
          <cell r="G323">
            <v>15.283821312203694</v>
          </cell>
          <cell r="H323">
            <v>16.689179989086188</v>
          </cell>
          <cell r="I323">
            <v>12.137641883427055</v>
          </cell>
          <cell r="J323">
            <v>10.698303327639916</v>
          </cell>
        </row>
        <row r="324">
          <cell r="B324" t="str">
            <v>G-INTC-TRA</v>
          </cell>
          <cell r="C324" t="str">
            <v>VAR_fin</v>
          </cell>
          <cell r="D324" t="str">
            <v>ELC5</v>
          </cell>
          <cell r="E324">
            <v>0.53159085743032231</v>
          </cell>
          <cell r="F324">
            <v>1.0812660096235429E-2</v>
          </cell>
          <cell r="G324">
            <v>1.9024990892881295E-2</v>
          </cell>
          <cell r="H324">
            <v>7.0517661925716322</v>
          </cell>
          <cell r="I324">
            <v>11.111925667926171</v>
          </cell>
          <cell r="J324">
            <v>12.616619786389125</v>
          </cell>
        </row>
        <row r="325">
          <cell r="B325" t="str">
            <v>G-INTC-TRA</v>
          </cell>
          <cell r="C325" t="str">
            <v>VAR_ncap</v>
          </cell>
          <cell r="D325" t="str">
            <v>-</v>
          </cell>
          <cell r="E325">
            <v>5.43973903561258E-7</v>
          </cell>
          <cell r="F325">
            <v>5.7985134230745903E-7</v>
          </cell>
          <cell r="G325">
            <v>6.9844232190464003E-7</v>
          </cell>
          <cell r="H325">
            <v>1.4156144684348699E-6</v>
          </cell>
          <cell r="I325">
            <v>8.4079202688193297E-7</v>
          </cell>
          <cell r="J325">
            <v>1.3067241447988599E-6</v>
          </cell>
        </row>
        <row r="326">
          <cell r="B326" t="str">
            <v>G-INTC-TRA</v>
          </cell>
          <cell r="C326" t="str">
            <v>VAR_cap</v>
          </cell>
          <cell r="D326" t="str">
            <v>-</v>
          </cell>
          <cell r="E326">
            <v>0.86351880627381705</v>
          </cell>
          <cell r="F326">
            <v>0.8635189831399499</v>
          </cell>
          <cell r="G326">
            <v>0.86351993009906292</v>
          </cell>
          <cell r="H326">
            <v>0.86352140739737671</v>
          </cell>
          <cell r="I326">
            <v>0.86352322695666062</v>
          </cell>
          <cell r="J326">
            <v>0.8635246298453878</v>
          </cell>
        </row>
        <row r="327">
          <cell r="B327" t="str">
            <v>SCOM-SWHSTG-CHPBIO</v>
          </cell>
          <cell r="C327" t="str">
            <v>VAR_fout</v>
          </cell>
          <cell r="D327" t="str">
            <v>AUX_SCOM-CHPBIO_OUT</v>
          </cell>
          <cell r="E327">
            <v>6.5856535769468898E-5</v>
          </cell>
          <cell r="F327">
            <v>5.2243625054698012E-4</v>
          </cell>
          <cell r="G327">
            <v>7.7764983183060119</v>
          </cell>
          <cell r="H327">
            <v>8.8612857680889121</v>
          </cell>
          <cell r="I327">
            <v>13.36641758084123</v>
          </cell>
          <cell r="J327">
            <v>99.597336701158426</v>
          </cell>
        </row>
        <row r="328">
          <cell r="B328" t="str">
            <v>SCOM-SWHSTG-CHPBIO</v>
          </cell>
          <cell r="C328" t="str">
            <v>VAR_fout</v>
          </cell>
          <cell r="D328" t="str">
            <v>SCOM_LTH_CHPBIO</v>
          </cell>
          <cell r="E328">
            <v>6.585653576946902E-5</v>
          </cell>
          <cell r="F328">
            <v>5.2286327379136137E-4</v>
          </cell>
          <cell r="G328">
            <v>7.7864299892106139</v>
          </cell>
          <cell r="H328">
            <v>8.8612857680888943</v>
          </cell>
          <cell r="I328">
            <v>13.366417580841215</v>
          </cell>
          <cell r="J328">
            <v>99.597336701158397</v>
          </cell>
        </row>
        <row r="329">
          <cell r="B329" t="str">
            <v>SCOM-SWHSTG-CHPBIO</v>
          </cell>
          <cell r="C329" t="str">
            <v>VAR_fin</v>
          </cell>
          <cell r="D329" t="str">
            <v>SCOM_LTH_CHPBIO</v>
          </cell>
          <cell r="E329">
            <v>1.0947345043516273E-4</v>
          </cell>
          <cell r="F329">
            <v>6.5017124665018905E-4</v>
          </cell>
          <cell r="G329">
            <v>9.2695118902431819</v>
          </cell>
          <cell r="H329">
            <v>10.185350426819813</v>
          </cell>
          <cell r="I329">
            <v>14.372458021717218</v>
          </cell>
          <cell r="J329">
            <v>100.6033755677375</v>
          </cell>
        </row>
        <row r="330">
          <cell r="B330" t="str">
            <v>SCOM-SWHSTG-CHPBIO</v>
          </cell>
          <cell r="C330" t="str">
            <v>VAR_fin</v>
          </cell>
          <cell r="D330" t="str">
            <v>AUX_SCOM-CHPBIO_IN</v>
          </cell>
          <cell r="E330">
            <v>1.0947345043516273E-4</v>
          </cell>
          <cell r="F330">
            <v>6.5017124665018905E-4</v>
          </cell>
          <cell r="G330">
            <v>9.2695118902431819</v>
          </cell>
          <cell r="H330">
            <v>10.185350426819813</v>
          </cell>
          <cell r="I330">
            <v>14.372458021717218</v>
          </cell>
          <cell r="J330">
            <v>100.6033755677375</v>
          </cell>
        </row>
        <row r="331">
          <cell r="B331" t="str">
            <v>SCOM-SWHSTG-CHPBIO</v>
          </cell>
          <cell r="C331" t="str">
            <v>VAR_ncap</v>
          </cell>
          <cell r="D331" t="str">
            <v>-</v>
          </cell>
          <cell r="E331">
            <v>9.8913773971181108E-3</v>
          </cell>
          <cell r="F331">
            <v>1.2564336327624E-4</v>
          </cell>
          <cell r="G331">
            <v>0.47928563517579198</v>
          </cell>
          <cell r="H331">
            <v>6.6358839699663802E-2</v>
          </cell>
          <cell r="I331">
            <v>0.59647894996986495</v>
          </cell>
          <cell r="J331">
            <v>5.7105203124342099</v>
          </cell>
        </row>
        <row r="332">
          <cell r="B332" t="str">
            <v>SCOM-SWHSTG-CHPBIO</v>
          </cell>
          <cell r="C332" t="str">
            <v>VAR_cap</v>
          </cell>
          <cell r="D332" t="str">
            <v>-</v>
          </cell>
          <cell r="E332">
            <v>9.8913773971181108E-3</v>
          </cell>
          <cell r="F332">
            <v>1.0005154564124083E-2</v>
          </cell>
          <cell r="G332">
            <v>0.48925349342167185</v>
          </cell>
          <cell r="H332">
            <v>0.55555592945280907</v>
          </cell>
          <cell r="I332">
            <v>0.83402174258776918</v>
          </cell>
          <cell r="J332">
            <v>6.1888084071379419</v>
          </cell>
        </row>
        <row r="333">
          <cell r="B333" t="str">
            <v>SCOM-SWHSTG-CHPHFC</v>
          </cell>
          <cell r="C333" t="str">
            <v>VAR_fout</v>
          </cell>
          <cell r="D333" t="str">
            <v>AUX_SCOM-CHPHFC_OUT</v>
          </cell>
          <cell r="E333">
            <v>3.6507134398058573E-4</v>
          </cell>
          <cell r="F333">
            <v>5.5526585535593516E-4</v>
          </cell>
          <cell r="G333">
            <v>5.6716440939934385E-4</v>
          </cell>
          <cell r="H333">
            <v>6.7276561385949826E-2</v>
          </cell>
          <cell r="I333">
            <v>0.23201256136417198</v>
          </cell>
          <cell r="J333">
            <v>0.25931066288032922</v>
          </cell>
        </row>
        <row r="334">
          <cell r="B334" t="str">
            <v>SCOM-SWHSTG-CHPHFC</v>
          </cell>
          <cell r="C334" t="str">
            <v>VAR_fout</v>
          </cell>
          <cell r="D334" t="str">
            <v>SCOM_LTH_CHPHFC</v>
          </cell>
          <cell r="E334">
            <v>3.6507134398058627E-4</v>
          </cell>
          <cell r="F334">
            <v>5.5571971250463015E-4</v>
          </cell>
          <cell r="G334">
            <v>5.6788875730406907E-4</v>
          </cell>
          <cell r="H334">
            <v>6.7276561385949715E-2</v>
          </cell>
          <cell r="I334">
            <v>0.23201256136417173</v>
          </cell>
          <cell r="J334">
            <v>0.25931066288032911</v>
          </cell>
        </row>
        <row r="335">
          <cell r="B335" t="str">
            <v>SCOM-SWHSTG-CHPHFC</v>
          </cell>
          <cell r="C335" t="str">
            <v>VAR_fin</v>
          </cell>
          <cell r="D335" t="str">
            <v>SCOM_LTH_CHPHFC</v>
          </cell>
          <cell r="E335">
            <v>3.6507134398058627E-4</v>
          </cell>
          <cell r="F335">
            <v>5.5571971250463015E-4</v>
          </cell>
          <cell r="G335">
            <v>5.6788875730406907E-4</v>
          </cell>
          <cell r="H335">
            <v>7.7290737366316087E-2</v>
          </cell>
          <cell r="I335">
            <v>0.24945923163436448</v>
          </cell>
          <cell r="J335">
            <v>0.2619319861803297</v>
          </cell>
        </row>
        <row r="336">
          <cell r="B336" t="str">
            <v>SCOM-SWHSTG-CHPHFC</v>
          </cell>
          <cell r="C336" t="str">
            <v>VAR_fin</v>
          </cell>
          <cell r="D336" t="str">
            <v>AUX_SCOM-CHPHFC_IN</v>
          </cell>
          <cell r="E336">
            <v>3.6507134398058627E-4</v>
          </cell>
          <cell r="F336">
            <v>5.5571971250463015E-4</v>
          </cell>
          <cell r="G336">
            <v>5.6788875730406907E-4</v>
          </cell>
          <cell r="H336">
            <v>7.7290737366316087E-2</v>
          </cell>
          <cell r="I336">
            <v>0.24945923163436448</v>
          </cell>
          <cell r="J336">
            <v>0.2619319861803297</v>
          </cell>
        </row>
        <row r="337">
          <cell r="B337" t="str">
            <v>SCOM-SWHSTG-CHPHFC</v>
          </cell>
          <cell r="C337" t="str">
            <v>VAR_ncap</v>
          </cell>
          <cell r="D337" t="str">
            <v>-</v>
          </cell>
          <cell r="E337">
            <v>4.0002371902715496E-3</v>
          </cell>
          <cell r="F337">
            <v>1.18684458470095E-4</v>
          </cell>
          <cell r="G337">
            <v>1.9373838252405301E-4</v>
          </cell>
          <cell r="H337">
            <v>4.4821693769391799E-4</v>
          </cell>
          <cell r="I337">
            <v>5.4740410941669397E-3</v>
          </cell>
          <cell r="J337">
            <v>8.4074002230773107E-3</v>
          </cell>
        </row>
        <row r="338">
          <cell r="B338" t="str">
            <v>SCOM-SWHSTG-CHPHFC</v>
          </cell>
          <cell r="C338" t="str">
            <v>VAR_cap</v>
          </cell>
          <cell r="D338" t="str">
            <v>-</v>
          </cell>
          <cell r="E338">
            <v>4.0002371902715496E-3</v>
          </cell>
          <cell r="F338">
            <v>4.1064097016362119E-3</v>
          </cell>
          <cell r="G338">
            <v>4.2732229682020482E-3</v>
          </cell>
          <cell r="H338">
            <v>4.6656741313028209E-3</v>
          </cell>
          <cell r="I338">
            <v>1.4620039824063518E-2</v>
          </cell>
          <cell r="J338">
            <v>1.61022381562647E-2</v>
          </cell>
        </row>
        <row r="339">
          <cell r="B339" t="str">
            <v>D-IHFO</v>
          </cell>
          <cell r="C339" t="str">
            <v>VAR_fout</v>
          </cell>
          <cell r="D339" t="str">
            <v>CO2</v>
          </cell>
          <cell r="E339">
            <v>213.78362700946099</v>
          </cell>
          <cell r="F339">
            <v>204.777404259245</v>
          </cell>
          <cell r="G339">
            <v>0.85652503223166498</v>
          </cell>
          <cell r="H339">
            <v>5.0946835602173703E-2</v>
          </cell>
          <cell r="I339">
            <v>7.7824578918368706E-2</v>
          </cell>
          <cell r="J339"/>
        </row>
        <row r="340">
          <cell r="B340" t="str">
            <v>D-IHFO</v>
          </cell>
          <cell r="C340" t="str">
            <v>VAR_fout</v>
          </cell>
          <cell r="D340" t="str">
            <v>IHFO</v>
          </cell>
          <cell r="E340">
            <v>2.7300414454018789</v>
          </cell>
          <cell r="F340">
            <v>2.6150309475515354</v>
          </cell>
          <cell r="G340">
            <v>1.0937922935104583E-2</v>
          </cell>
          <cell r="H340">
            <v>6.5059693603128485E-4</v>
          </cell>
          <cell r="I340">
            <v>9.9382880200032117E-4</v>
          </cell>
          <cell r="J340"/>
        </row>
        <row r="341">
          <cell r="B341" t="str">
            <v>D-IHFO</v>
          </cell>
          <cell r="C341" t="str">
            <v>VAR_fin</v>
          </cell>
          <cell r="D341" t="str">
            <v>HFO</v>
          </cell>
          <cell r="E341">
            <v>2.7764107403826093</v>
          </cell>
          <cell r="F341">
            <v>2.6594468085616252</v>
          </cell>
          <cell r="G341">
            <v>1.112370171729435E-2</v>
          </cell>
          <cell r="H341">
            <v>6.6164721561264592E-4</v>
          </cell>
          <cell r="I341">
            <v>1.0107088171216715E-3</v>
          </cell>
          <cell r="J341"/>
        </row>
        <row r="342">
          <cell r="B342" t="str">
            <v>RHNM-CHPNGA</v>
          </cell>
          <cell r="C342" t="str">
            <v>VAR_fout</v>
          </cell>
          <cell r="D342" t="str">
            <v>CO2_R</v>
          </cell>
          <cell r="E342"/>
          <cell r="F342">
            <v>0.472733010963727</v>
          </cell>
          <cell r="G342">
            <v>2.1572321686554399</v>
          </cell>
          <cell r="H342">
            <v>0.48709812930097401</v>
          </cell>
          <cell r="I342">
            <v>0.94146179142819697</v>
          </cell>
          <cell r="J342"/>
        </row>
        <row r="343">
          <cell r="B343" t="str">
            <v>RHNM-CHPNGA</v>
          </cell>
          <cell r="C343" t="str">
            <v>VAR_fout</v>
          </cell>
          <cell r="D343" t="str">
            <v>RHNM_NKEV_GAS_ELC_CHP</v>
          </cell>
          <cell r="E343"/>
          <cell r="F343">
            <v>2.3318759376677418E-3</v>
          </cell>
          <cell r="G343">
            <v>9.1350921097432189E-3</v>
          </cell>
          <cell r="H343">
            <v>2.3728026405231651E-3</v>
          </cell>
          <cell r="I343">
            <v>4.8669301156958281E-3</v>
          </cell>
          <cell r="J343"/>
        </row>
        <row r="344">
          <cell r="B344" t="str">
            <v>RHNM-CHPNGA</v>
          </cell>
          <cell r="C344" t="str">
            <v>VAR_fout</v>
          </cell>
          <cell r="D344" t="str">
            <v>RHNM_LTH_CHPNGA</v>
          </cell>
          <cell r="E344"/>
          <cell r="F344">
            <v>5.0164816148723567E-3</v>
          </cell>
          <cell r="G344">
            <v>1.936219523030636E-2</v>
          </cell>
          <cell r="H344">
            <v>4.9037921237478858E-3</v>
          </cell>
          <cell r="I344">
            <v>9.8136459709932122E-3</v>
          </cell>
          <cell r="J344"/>
        </row>
        <row r="345">
          <cell r="B345" t="str">
            <v>RHNM-CHPNGA</v>
          </cell>
          <cell r="C345" t="str">
            <v>VAR_fin</v>
          </cell>
          <cell r="D345" t="str">
            <v>RNGA</v>
          </cell>
          <cell r="E345"/>
          <cell r="F345">
            <v>8.3817909745341704E-3</v>
          </cell>
          <cell r="G345">
            <v>3.8248797316585835E-2</v>
          </cell>
          <cell r="H345">
            <v>8.636491654272594E-3</v>
          </cell>
          <cell r="I345">
            <v>1.6692584954400666E-2</v>
          </cell>
          <cell r="J345"/>
        </row>
        <row r="346">
          <cell r="B346" t="str">
            <v>RHNM-CHPNGA</v>
          </cell>
          <cell r="C346" t="str">
            <v>VAR_ncap</v>
          </cell>
          <cell r="D346" t="str">
            <v>-</v>
          </cell>
          <cell r="E346"/>
          <cell r="F346">
            <v>6.9799176875777295E-4</v>
          </cell>
          <cell r="G346"/>
          <cell r="H346"/>
          <cell r="I346"/>
          <cell r="J346"/>
        </row>
        <row r="347">
          <cell r="B347" t="str">
            <v>RHNM-CHPNGA</v>
          </cell>
          <cell r="C347" t="str">
            <v>VAR_cap</v>
          </cell>
          <cell r="D347" t="str">
            <v>-</v>
          </cell>
          <cell r="E347"/>
          <cell r="F347">
            <v>6.9799176875777295E-4</v>
          </cell>
          <cell r="G347">
            <v>6.9796370434447186E-4</v>
          </cell>
          <cell r="H347">
            <v>6.9793288670272108E-4</v>
          </cell>
          <cell r="I347">
            <v>3.6185225676411845E-4</v>
          </cell>
          <cell r="J347"/>
        </row>
        <row r="348">
          <cell r="B348" t="str">
            <v>G-INTC-EXP00-DE</v>
          </cell>
          <cell r="C348" t="str">
            <v>VAR_fout</v>
          </cell>
          <cell r="D348" t="str">
            <v>ELC_E-DE</v>
          </cell>
          <cell r="E348">
            <v>26.492987070337517</v>
          </cell>
          <cell r="F348">
            <v>1.7199480875271708E-3</v>
          </cell>
          <cell r="G348">
            <v>1.9387620745842664E-3</v>
          </cell>
          <cell r="H348">
            <v>1.6570002983973668E-3</v>
          </cell>
          <cell r="I348">
            <v>8.0750752320254329E-3</v>
          </cell>
          <cell r="J348">
            <v>1.439952177415492E-3</v>
          </cell>
        </row>
        <row r="349">
          <cell r="B349" t="str">
            <v>G-INTC-EXP00-DE</v>
          </cell>
          <cell r="C349" t="str">
            <v>VAR_fin</v>
          </cell>
          <cell r="D349" t="str">
            <v>ELC</v>
          </cell>
          <cell r="E349">
            <v>26.492987070337517</v>
          </cell>
          <cell r="F349">
            <v>1.7199480875271708E-3</v>
          </cell>
          <cell r="G349">
            <v>1.9387620745842664E-3</v>
          </cell>
          <cell r="H349">
            <v>1.6570002983973668E-3</v>
          </cell>
          <cell r="I349">
            <v>8.0750752320254329E-3</v>
          </cell>
          <cell r="J349">
            <v>1.439952177415492E-3</v>
          </cell>
        </row>
        <row r="350">
          <cell r="B350" t="str">
            <v>G-INTC-EXP00-DE</v>
          </cell>
          <cell r="C350" t="str">
            <v>VAR_ncap</v>
          </cell>
          <cell r="D350" t="str">
            <v>-</v>
          </cell>
          <cell r="E350">
            <v>4.1331655712127402E-6</v>
          </cell>
          <cell r="F350">
            <v>3.9239160767505501E-6</v>
          </cell>
          <cell r="G350">
            <v>5.7024578384394701E-6</v>
          </cell>
          <cell r="H350">
            <v>4.4083082093464201E-4</v>
          </cell>
          <cell r="I350">
            <v>1.1997860539241299E-5</v>
          </cell>
          <cell r="J350">
            <v>1.9059596487707899E-5</v>
          </cell>
        </row>
        <row r="351">
          <cell r="B351" t="str">
            <v>G-INTC-EXP00-DE</v>
          </cell>
          <cell r="C351" t="str">
            <v>VAR_cap</v>
          </cell>
          <cell r="D351" t="str">
            <v>-</v>
          </cell>
          <cell r="E351">
            <v>4.028316580695229</v>
          </cell>
          <cell r="F351">
            <v>3.4362673696000101E-3</v>
          </cell>
          <cell r="G351">
            <v>3.4310526648697603E-3</v>
          </cell>
          <cell r="H351">
            <v>3.4310009052083146E-3</v>
          </cell>
          <cell r="I351">
            <v>3.8645056314807746E-3</v>
          </cell>
          <cell r="J351">
            <v>1.3044247937115117E-3</v>
          </cell>
        </row>
        <row r="352">
          <cell r="B352" t="str">
            <v>CEN-EBAT</v>
          </cell>
          <cell r="C352" t="str">
            <v>VAR_fout</v>
          </cell>
          <cell r="D352" t="str">
            <v>ELC13</v>
          </cell>
          <cell r="E352">
            <v>1.1910676455954998E-2</v>
          </cell>
          <cell r="F352">
            <v>9.5561032743182867E-3</v>
          </cell>
          <cell r="G352">
            <v>1.1805313005730157E-2</v>
          </cell>
          <cell r="H352">
            <v>1.4644885469731266E-2</v>
          </cell>
          <cell r="I352">
            <v>0.76081477696441813</v>
          </cell>
          <cell r="J352">
            <v>2.0443668509016937</v>
          </cell>
        </row>
        <row r="353">
          <cell r="B353" t="str">
            <v>CEN-EBAT</v>
          </cell>
          <cell r="C353" t="str">
            <v>VAR_fout</v>
          </cell>
          <cell r="D353" t="str">
            <v>AUX_CEN-EBAT_OUT</v>
          </cell>
          <cell r="E353">
            <v>1.1910676455954963E-2</v>
          </cell>
          <cell r="F353">
            <v>9.556103274318252E-3</v>
          </cell>
          <cell r="G353">
            <v>1.1805313005730116E-2</v>
          </cell>
          <cell r="H353">
            <v>1.4644885469731221E-2</v>
          </cell>
          <cell r="I353">
            <v>0.76081477696441568</v>
          </cell>
          <cell r="J353">
            <v>2.0443668509016883</v>
          </cell>
        </row>
        <row r="354">
          <cell r="B354" t="str">
            <v>CEN-EBAT</v>
          </cell>
          <cell r="C354" t="str">
            <v>VAR_fin</v>
          </cell>
          <cell r="D354" t="str">
            <v>AUX_CEN-EBAT_IN</v>
          </cell>
          <cell r="E354">
            <v>1.3802321975902036E-2</v>
          </cell>
          <cell r="F354">
            <v>1.1069081094867633E-2</v>
          </cell>
          <cell r="G354">
            <v>1.3617279911638523E-2</v>
          </cell>
          <cell r="H354">
            <v>1.6897600131036309E-2</v>
          </cell>
          <cell r="I354">
            <v>0.87749266298275574</v>
          </cell>
          <cell r="J354">
            <v>2.3578766226499082</v>
          </cell>
        </row>
        <row r="355">
          <cell r="B355" t="str">
            <v>CEN-EBAT</v>
          </cell>
          <cell r="C355" t="str">
            <v>VAR_fin</v>
          </cell>
          <cell r="D355" t="str">
            <v>ELC13</v>
          </cell>
          <cell r="E355">
            <v>1.3802321975902036E-2</v>
          </cell>
          <cell r="F355">
            <v>1.1069081094867633E-2</v>
          </cell>
          <cell r="G355">
            <v>1.3617279911638523E-2</v>
          </cell>
          <cell r="H355">
            <v>1.6897600131036309E-2</v>
          </cell>
          <cell r="I355">
            <v>0.87749266298275574</v>
          </cell>
          <cell r="J355">
            <v>2.3578766226499082</v>
          </cell>
        </row>
        <row r="356">
          <cell r="B356" t="str">
            <v>CEN-EBAT</v>
          </cell>
          <cell r="C356" t="str">
            <v>VAR_ncap</v>
          </cell>
          <cell r="D356" t="str">
            <v>-</v>
          </cell>
          <cell r="E356">
            <v>2.0459664929528801E-3</v>
          </cell>
          <cell r="F356">
            <v>3.0490049217717998E-6</v>
          </cell>
          <cell r="G356">
            <v>1.2290375706603099E-5</v>
          </cell>
          <cell r="H356">
            <v>9.9283475693279504E-4</v>
          </cell>
          <cell r="I356">
            <v>0.79699702489611901</v>
          </cell>
          <cell r="J356">
            <v>1.0279526524298801</v>
          </cell>
        </row>
        <row r="357">
          <cell r="B357" t="str">
            <v>CEN-EBAT</v>
          </cell>
          <cell r="C357" t="str">
            <v>VAR_cap</v>
          </cell>
          <cell r="D357" t="str">
            <v>-</v>
          </cell>
          <cell r="E357">
            <v>2.0459664929528801E-3</v>
          </cell>
          <cell r="F357">
            <v>2.047727456862256E-3</v>
          </cell>
          <cell r="G357">
            <v>2.0591882035579686E-3</v>
          </cell>
          <cell r="H357">
            <v>2.5018343963962566E-3</v>
          </cell>
          <cell r="I357">
            <v>1.0423070824699199</v>
          </cell>
          <cell r="J357">
            <v>1.4706677235583945</v>
          </cell>
        </row>
        <row r="358">
          <cell r="B358" t="str">
            <v>ESOL-PV</v>
          </cell>
          <cell r="C358" t="str">
            <v>VAR_fout</v>
          </cell>
          <cell r="D358" t="str">
            <v>ELC35</v>
          </cell>
          <cell r="E358"/>
          <cell r="F358"/>
          <cell r="G358">
            <v>0.14079688501016394</v>
          </cell>
          <cell r="H358">
            <v>0.23809987846138009</v>
          </cell>
          <cell r="I358">
            <v>1.421294778341873</v>
          </cell>
          <cell r="J358">
            <v>5.8670781102604925</v>
          </cell>
        </row>
        <row r="359">
          <cell r="B359" t="str">
            <v>ESOL-PV</v>
          </cell>
          <cell r="C359" t="str">
            <v>VAR_fin</v>
          </cell>
          <cell r="D359" t="str">
            <v>SOL</v>
          </cell>
          <cell r="E359"/>
          <cell r="F359"/>
          <cell r="G359">
            <v>0.14079688501016394</v>
          </cell>
          <cell r="H359">
            <v>0.23809987846138009</v>
          </cell>
          <cell r="I359">
            <v>1.421294778341873</v>
          </cell>
          <cell r="J359">
            <v>5.8670781102604925</v>
          </cell>
        </row>
        <row r="360">
          <cell r="B360" t="str">
            <v>ESOL-PV</v>
          </cell>
          <cell r="C360" t="str">
            <v>VAR_fin</v>
          </cell>
          <cell r="D360" t="str">
            <v>SOLPVC</v>
          </cell>
          <cell r="E360"/>
          <cell r="F360"/>
          <cell r="G360">
            <v>0.14079688501016399</v>
          </cell>
          <cell r="H360">
            <v>0.23809987846138</v>
          </cell>
          <cell r="I360">
            <v>1.4212947783418699</v>
          </cell>
          <cell r="J360">
            <v>5.8670781102604996</v>
          </cell>
        </row>
        <row r="361">
          <cell r="B361" t="str">
            <v>ESOL-PV</v>
          </cell>
          <cell r="C361" t="str">
            <v>VAR_ncap</v>
          </cell>
          <cell r="D361" t="str">
            <v>-</v>
          </cell>
          <cell r="E361"/>
          <cell r="F361"/>
          <cell r="G361">
            <v>4.4922649400891003E-2</v>
          </cell>
          <cell r="H361">
            <v>2.37144714680378E-2</v>
          </cell>
          <cell r="I361">
            <v>0.17054409931433301</v>
          </cell>
          <cell r="J361">
            <v>1.3787059156007</v>
          </cell>
        </row>
        <row r="362">
          <cell r="B362" t="str">
            <v>ESOL-PV</v>
          </cell>
          <cell r="C362" t="str">
            <v>VAR_cap</v>
          </cell>
          <cell r="D362" t="str">
            <v>-</v>
          </cell>
          <cell r="E362"/>
          <cell r="F362"/>
          <cell r="G362">
            <v>4.4922649400891003E-2</v>
          </cell>
          <cell r="H362">
            <v>6.86371208689288E-2</v>
          </cell>
          <cell r="I362">
            <v>0.409720735980666</v>
          </cell>
          <cell r="J362">
            <v>1.6913127989846399</v>
          </cell>
        </row>
        <row r="363">
          <cell r="B363" t="str">
            <v>RHEM-SHSTG-CHPNGA</v>
          </cell>
          <cell r="C363" t="str">
            <v>VAR_fout</v>
          </cell>
          <cell r="D363" t="str">
            <v>RHEM_LTH_CHPNGA</v>
          </cell>
          <cell r="E363">
            <v>3.0182108935467692E-2</v>
          </cell>
          <cell r="F363">
            <v>7.5431191668984851E-4</v>
          </cell>
          <cell r="G363">
            <v>1.1158678988029214E-2</v>
          </cell>
          <cell r="H363">
            <v>1.2774624484620536E-3</v>
          </cell>
          <cell r="I363">
            <v>2.6609518598593E-3</v>
          </cell>
          <cell r="J363">
            <v>7.6271710495311174E-4</v>
          </cell>
        </row>
        <row r="364">
          <cell r="B364" t="str">
            <v>RHEM-SHSTG-CHPNGA</v>
          </cell>
          <cell r="C364" t="str">
            <v>VAR_fout</v>
          </cell>
          <cell r="D364" t="str">
            <v>AUX_REM-CHPNGA_OUT</v>
          </cell>
          <cell r="E364">
            <v>3.0182108935467793E-2</v>
          </cell>
          <cell r="F364">
            <v>7.5380937710511442E-4</v>
          </cell>
          <cell r="G364">
            <v>1.1147067459425661E-2</v>
          </cell>
          <cell r="H364">
            <v>1.2774624484620536E-3</v>
          </cell>
          <cell r="I364">
            <v>2.6609518598593096E-3</v>
          </cell>
          <cell r="J364">
            <v>7.6271710495311228E-4</v>
          </cell>
        </row>
        <row r="365">
          <cell r="B365" t="str">
            <v>RHEM-SHSTG-CHPNGA</v>
          </cell>
          <cell r="C365" t="str">
            <v>VAR_fin</v>
          </cell>
          <cell r="D365" t="str">
            <v>AUX_REM-CHPNGA_IN</v>
          </cell>
          <cell r="E365">
            <v>4.027606708399787E-2</v>
          </cell>
          <cell r="F365">
            <v>9.8517998031906798E-4</v>
          </cell>
          <cell r="G365">
            <v>1.4384210925817615E-2</v>
          </cell>
          <cell r="H365">
            <v>1.6038703317952253E-3</v>
          </cell>
          <cell r="I365">
            <v>3.1376149442731535E-3</v>
          </cell>
          <cell r="J365">
            <v>6.4836372830839829E-4</v>
          </cell>
        </row>
        <row r="366">
          <cell r="B366" t="str">
            <v>RHEM-SHSTG-CHPNGA</v>
          </cell>
          <cell r="C366" t="str">
            <v>VAR_fin</v>
          </cell>
          <cell r="D366" t="str">
            <v>RHEM_LTH_CHPNGA</v>
          </cell>
          <cell r="E366">
            <v>4.027606708399787E-2</v>
          </cell>
          <cell r="F366">
            <v>9.8517998031906798E-4</v>
          </cell>
          <cell r="G366">
            <v>1.4384210925817615E-2</v>
          </cell>
          <cell r="H366">
            <v>1.6038703317952253E-3</v>
          </cell>
          <cell r="I366">
            <v>3.1376149442731535E-3</v>
          </cell>
          <cell r="J366">
            <v>6.4836372830839829E-4</v>
          </cell>
        </row>
        <row r="367">
          <cell r="B367" t="str">
            <v>RHEM-SHSTG-CHPNGA</v>
          </cell>
          <cell r="C367" t="str">
            <v>VAR_ncap</v>
          </cell>
          <cell r="D367" t="str">
            <v>-</v>
          </cell>
          <cell r="E367">
            <v>1.0810160521268101E-2</v>
          </cell>
          <cell r="F367">
            <v>1.3068176150496101E-4</v>
          </cell>
          <cell r="G367">
            <v>1.29705952946966E-4</v>
          </cell>
          <cell r="H367">
            <v>9.3777899493371097E-5</v>
          </cell>
          <cell r="I367">
            <v>2.19867643183366E-4</v>
          </cell>
          <cell r="J367">
            <v>6.9109218126577204E-5</v>
          </cell>
        </row>
        <row r="368">
          <cell r="B368" t="str">
            <v>RHEM-SHSTG-CHPNGA</v>
          </cell>
          <cell r="C368" t="str">
            <v>VAR_cap</v>
          </cell>
          <cell r="D368" t="str">
            <v>-</v>
          </cell>
          <cell r="E368">
            <v>1.0810160521268101E-2</v>
          </cell>
          <cell r="F368">
            <v>1.0921454246029437E-2</v>
          </cell>
          <cell r="G368">
            <v>1.099558363487396E-2</v>
          </cell>
          <cell r="H368">
            <v>1.0947729195905486E-2</v>
          </cell>
          <cell r="I368">
            <v>8.190191821581691E-3</v>
          </cell>
          <cell r="J368">
            <v>3.5236237409835298E-3</v>
          </cell>
        </row>
        <row r="369">
          <cell r="B369" t="str">
            <v>RHNS-ESOLPV</v>
          </cell>
          <cell r="C369" t="str">
            <v>VAR_fout</v>
          </cell>
          <cell r="D369" t="str">
            <v>RHNS_SOL_ELC</v>
          </cell>
          <cell r="E369"/>
          <cell r="F369">
            <v>1.7713459136689836E-4</v>
          </cell>
          <cell r="G369">
            <v>4.8185584886601971E-3</v>
          </cell>
          <cell r="H369">
            <v>1.049832971060897E-2</v>
          </cell>
          <cell r="I369">
            <v>1.1646089771828664E-2</v>
          </cell>
          <cell r="J369">
            <v>1.2872613387632776E-2</v>
          </cell>
        </row>
        <row r="370">
          <cell r="B370" t="str">
            <v>RHNS-ESOLPV</v>
          </cell>
          <cell r="C370" t="str">
            <v>VAR_fin</v>
          </cell>
          <cell r="D370" t="str">
            <v>SOL</v>
          </cell>
          <cell r="E370"/>
          <cell r="F370">
            <v>1.7713459136689836E-4</v>
          </cell>
          <cell r="G370">
            <v>4.8185584886601971E-3</v>
          </cell>
          <cell r="H370">
            <v>1.049832971060897E-2</v>
          </cell>
          <cell r="I370">
            <v>1.1646089771828664E-2</v>
          </cell>
          <cell r="J370">
            <v>1.2872613387632776E-2</v>
          </cell>
        </row>
        <row r="371">
          <cell r="B371" t="str">
            <v>RHNS-ESOLPV</v>
          </cell>
          <cell r="C371" t="str">
            <v>VAR_fin</v>
          </cell>
          <cell r="D371" t="str">
            <v>SOLPVC</v>
          </cell>
          <cell r="E371"/>
          <cell r="F371">
            <v>1.7713459136689801E-4</v>
          </cell>
          <cell r="G371">
            <v>4.8185584886601997E-3</v>
          </cell>
          <cell r="H371">
            <v>1.0498329710608999E-2</v>
          </cell>
          <cell r="I371">
            <v>1.16460897718287E-2</v>
          </cell>
          <cell r="J371">
            <v>1.2872613387632801E-2</v>
          </cell>
        </row>
        <row r="372">
          <cell r="B372" t="str">
            <v>RHNS-ESOLPV</v>
          </cell>
          <cell r="C372" t="str">
            <v>VAR_ncap</v>
          </cell>
          <cell r="D372" t="str">
            <v>-</v>
          </cell>
          <cell r="E372"/>
          <cell r="F372">
            <v>6.0394402986812599E-5</v>
          </cell>
          <cell r="G372">
            <v>1.4773642654967399E-3</v>
          </cell>
          <cell r="H372">
            <v>1.48838102465082E-3</v>
          </cell>
          <cell r="I372">
            <v>1.9935676638199401E-4</v>
          </cell>
          <cell r="J372">
            <v>2.9972523950063802E-3</v>
          </cell>
        </row>
        <row r="373">
          <cell r="B373" t="str">
            <v>RHNS-ESOLPV</v>
          </cell>
          <cell r="C373" t="str">
            <v>VAR_cap</v>
          </cell>
          <cell r="D373" t="str">
            <v>-</v>
          </cell>
          <cell r="E373"/>
          <cell r="F373">
            <v>6.0394402986812599E-5</v>
          </cell>
          <cell r="G373">
            <v>1.5377586684835499E-3</v>
          </cell>
          <cell r="H373">
            <v>3.02613969313437E-3</v>
          </cell>
          <cell r="I373">
            <v>3.3591341486620199E-3</v>
          </cell>
          <cell r="J373">
            <v>3.7133044796770999E-3</v>
          </cell>
        </row>
        <row r="374">
          <cell r="B374" t="str">
            <v>RHSA-WHSTG-CHP</v>
          </cell>
          <cell r="C374" t="str">
            <v>VAR_fout</v>
          </cell>
          <cell r="D374" t="str">
            <v>AUX_RHSA-CHP_OUT</v>
          </cell>
          <cell r="E374">
            <v>0.20129963091307704</v>
          </cell>
          <cell r="F374">
            <v>2.3946087617837163E-3</v>
          </cell>
          <cell r="G374">
            <v>1.5690910601599984E-2</v>
          </cell>
          <cell r="H374">
            <v>1.8833030069697243E-3</v>
          </cell>
          <cell r="I374">
            <v>0.28312699015662018</v>
          </cell>
          <cell r="J374">
            <v>0.36528556824225161</v>
          </cell>
        </row>
        <row r="375">
          <cell r="B375" t="str">
            <v>RHSA-WHSTG-CHP</v>
          </cell>
          <cell r="C375" t="str">
            <v>VAR_fout</v>
          </cell>
          <cell r="D375" t="str">
            <v>RHSA_LTH</v>
          </cell>
          <cell r="E375">
            <v>0.20129963091307645</v>
          </cell>
          <cell r="F375">
            <v>2.396205167624902E-3</v>
          </cell>
          <cell r="G375">
            <v>1.5707255300143292E-2</v>
          </cell>
          <cell r="H375">
            <v>1.8833030069697243E-3</v>
          </cell>
          <cell r="I375">
            <v>0.28312699015661907</v>
          </cell>
          <cell r="J375">
            <v>0.36528556824225111</v>
          </cell>
        </row>
        <row r="376">
          <cell r="B376" t="str">
            <v>RHSA-WHSTG-CHP</v>
          </cell>
          <cell r="C376" t="str">
            <v>VAR_fin</v>
          </cell>
          <cell r="D376" t="str">
            <v>RHSA_LTH</v>
          </cell>
          <cell r="E376">
            <v>0.26836194910387717</v>
          </cell>
          <cell r="F376">
            <v>3.1570095279621867E-3</v>
          </cell>
          <cell r="G376">
            <v>2.0253341651152546E-2</v>
          </cell>
          <cell r="H376">
            <v>2.3611710300839341E-3</v>
          </cell>
          <cell r="I376">
            <v>0.33309765317383794</v>
          </cell>
          <cell r="J376">
            <v>0.40588017080229677</v>
          </cell>
        </row>
        <row r="377">
          <cell r="B377" t="str">
            <v>RHSA-WHSTG-CHP</v>
          </cell>
          <cell r="C377" t="str">
            <v>VAR_fin</v>
          </cell>
          <cell r="D377" t="str">
            <v>AUX_RHSA-CHP_IN</v>
          </cell>
          <cell r="E377">
            <v>0.26836194910387717</v>
          </cell>
          <cell r="F377">
            <v>3.1570095279621867E-3</v>
          </cell>
          <cell r="G377">
            <v>2.0253341651152546E-2</v>
          </cell>
          <cell r="H377">
            <v>2.3611710300839341E-3</v>
          </cell>
          <cell r="I377">
            <v>0.33309765317383794</v>
          </cell>
          <cell r="J377">
            <v>0.40588017080229677</v>
          </cell>
        </row>
        <row r="378">
          <cell r="B378" t="str">
            <v>RHSA-WHSTG-CHP</v>
          </cell>
          <cell r="C378" t="str">
            <v>VAR_ncap</v>
          </cell>
          <cell r="D378" t="str">
            <v>-</v>
          </cell>
          <cell r="E378">
            <v>1.25281448343661E-2</v>
          </cell>
          <cell r="F378">
            <v>8.1422568403162097E-5</v>
          </cell>
          <cell r="G378">
            <v>8.3311668048526602E-5</v>
          </cell>
          <cell r="H378">
            <v>6.5804763872875295E-5</v>
          </cell>
          <cell r="I378">
            <v>0.23417718589424</v>
          </cell>
          <cell r="J378">
            <v>6.6800481380143703E-2</v>
          </cell>
        </row>
        <row r="379">
          <cell r="B379" t="str">
            <v>RHSA-WHSTG-CHP</v>
          </cell>
          <cell r="C379" t="str">
            <v>VAR_cap</v>
          </cell>
          <cell r="D379" t="str">
            <v>-</v>
          </cell>
          <cell r="E379">
            <v>1.320642292355103E-2</v>
          </cell>
          <cell r="F379">
            <v>1.3211130287641133E-2</v>
          </cell>
          <cell r="G379">
            <v>1.3161840189710871E-2</v>
          </cell>
          <cell r="H379">
            <v>1.2534472159168683E-2</v>
          </cell>
          <cell r="I379">
            <v>0.24151303710740663</v>
          </cell>
          <cell r="J379">
            <v>0.23980414081691198</v>
          </cell>
        </row>
        <row r="380">
          <cell r="B380" t="str">
            <v>G-INTC-SER</v>
          </cell>
          <cell r="C380" t="str">
            <v>VAR_fout</v>
          </cell>
          <cell r="D380" t="str">
            <v>ELC35</v>
          </cell>
          <cell r="E380">
            <v>16.577842928425707</v>
          </cell>
          <cell r="F380">
            <v>1.2189467412734519E-2</v>
          </cell>
          <cell r="G380">
            <v>2.0693756454432392E-2</v>
          </cell>
          <cell r="H380">
            <v>2.6211148390712587E-2</v>
          </cell>
          <cell r="I380">
            <v>0.61963188607156416</v>
          </cell>
          <cell r="J380">
            <v>0.73448694314571172</v>
          </cell>
        </row>
        <row r="381">
          <cell r="B381" t="str">
            <v>G-INTC-SER</v>
          </cell>
          <cell r="C381" t="str">
            <v>VAR_fout</v>
          </cell>
          <cell r="D381" t="str">
            <v>SCOM_ELC</v>
          </cell>
          <cell r="E381">
            <v>60.75922187328807</v>
          </cell>
          <cell r="F381">
            <v>58.486066784795653</v>
          </cell>
          <cell r="G381">
            <v>56.813670470244837</v>
          </cell>
          <cell r="H381">
            <v>56.40733283956348</v>
          </cell>
          <cell r="I381">
            <v>54.80568248031787</v>
          </cell>
          <cell r="J381">
            <v>54.287110643450973</v>
          </cell>
        </row>
        <row r="382">
          <cell r="B382" t="str">
            <v>G-INTC-SER</v>
          </cell>
          <cell r="C382" t="str">
            <v>VAR_fin</v>
          </cell>
          <cell r="D382" t="str">
            <v>ELC5</v>
          </cell>
          <cell r="E382">
            <v>77.337038936612345</v>
          </cell>
          <cell r="F382">
            <v>58.498256252208385</v>
          </cell>
          <cell r="G382">
            <v>56.834364226699329</v>
          </cell>
          <cell r="H382">
            <v>56.433543987954195</v>
          </cell>
          <cell r="I382">
            <v>55.425314366389443</v>
          </cell>
          <cell r="J382">
            <v>55.021597586596712</v>
          </cell>
        </row>
        <row r="383">
          <cell r="B383" t="str">
            <v>G-INTC-SER</v>
          </cell>
          <cell r="C383" t="str">
            <v>VAR_ncap</v>
          </cell>
          <cell r="D383" t="str">
            <v>-</v>
          </cell>
          <cell r="E383">
            <v>3.4429358206554801E-7</v>
          </cell>
          <cell r="F383">
            <v>3.6180579767423201E-7</v>
          </cell>
          <cell r="G383">
            <v>4.1346261102098598E-7</v>
          </cell>
          <cell r="H383">
            <v>5.2072641946575797E-7</v>
          </cell>
          <cell r="I383">
            <v>9.8170306723363103E-7</v>
          </cell>
          <cell r="J383">
            <v>1.0738326352724701E-6</v>
          </cell>
        </row>
        <row r="384">
          <cell r="B384" t="str">
            <v>G-INTC-SER</v>
          </cell>
          <cell r="C384" t="str">
            <v>VAR_cap</v>
          </cell>
          <cell r="D384" t="str">
            <v>-</v>
          </cell>
          <cell r="E384">
            <v>4.3683888589490198</v>
          </cell>
          <cell r="F384">
            <v>4.368388970891659</v>
          </cell>
          <cell r="G384">
            <v>4.3683895650483997</v>
          </cell>
          <cell r="H384">
            <v>4.3683902650091362</v>
          </cell>
          <cell r="I384">
            <v>4.3683917315239604</v>
          </cell>
          <cell r="J384">
            <v>4.3683930351452798</v>
          </cell>
        </row>
        <row r="385">
          <cell r="B385" t="str">
            <v>CHPWOD</v>
          </cell>
          <cell r="C385" t="str">
            <v>VAR_fout</v>
          </cell>
          <cell r="D385" t="str">
            <v>ELC35</v>
          </cell>
          <cell r="E385">
            <v>0.22029224603021824</v>
          </cell>
          <cell r="F385">
            <v>1.6470542202444063E-2</v>
          </cell>
          <cell r="G385">
            <v>2.9355782925001971E-3</v>
          </cell>
          <cell r="H385">
            <v>4.2429744597877305E-3</v>
          </cell>
          <cell r="I385">
            <v>0.76665675229547214</v>
          </cell>
          <cell r="J385">
            <v>0.95693535299506838</v>
          </cell>
        </row>
        <row r="386">
          <cell r="B386" t="str">
            <v>CHPWOD</v>
          </cell>
          <cell r="C386" t="str">
            <v>VAR_fout</v>
          </cell>
          <cell r="D386" t="str">
            <v>LTH</v>
          </cell>
          <cell r="E386">
            <v>0.57610491916247408</v>
          </cell>
          <cell r="F386">
            <v>4.3073510552884109E-2</v>
          </cell>
          <cell r="G386">
            <v>7.6770795403482001E-3</v>
          </cell>
          <cell r="H386">
            <v>1.1096162040261497E-2</v>
          </cell>
          <cell r="I386">
            <v>2.0049490359545459</v>
          </cell>
          <cell r="J386">
            <v>2.5025627279923177</v>
          </cell>
        </row>
        <row r="387">
          <cell r="B387" t="str">
            <v>CHPWOD</v>
          </cell>
          <cell r="C387" t="str">
            <v>VAR_fin</v>
          </cell>
          <cell r="D387" t="str">
            <v>EWOD</v>
          </cell>
          <cell r="E387">
            <v>0.90316897107991756</v>
          </cell>
          <cell r="F387">
            <v>6.9519676315418666E-2</v>
          </cell>
          <cell r="G387">
            <v>1.348400345280727E-2</v>
          </cell>
          <cell r="H387">
            <v>1.6653399846674796E-2</v>
          </cell>
          <cell r="I387">
            <v>2.5109356009478345</v>
          </cell>
          <cell r="J387">
            <v>3.1284775752460208</v>
          </cell>
        </row>
        <row r="388">
          <cell r="B388" t="str">
            <v>CHPWOD</v>
          </cell>
          <cell r="C388" t="str">
            <v>VAR_ncap</v>
          </cell>
          <cell r="D388" t="str">
            <v>-</v>
          </cell>
          <cell r="E388"/>
          <cell r="F388">
            <v>3.8424414703471598E-7</v>
          </cell>
          <cell r="G388">
            <v>6.4468130691910195E-5</v>
          </cell>
          <cell r="H388">
            <v>1.41580091704804E-5</v>
          </cell>
          <cell r="I388">
            <v>4.94661433682487E-2</v>
          </cell>
          <cell r="J388">
            <v>4.0806212028831899E-5</v>
          </cell>
        </row>
        <row r="389">
          <cell r="B389" t="str">
            <v>CHPWOD</v>
          </cell>
          <cell r="C389" t="str">
            <v>VAR_cap</v>
          </cell>
          <cell r="D389" t="str">
            <v>-</v>
          </cell>
          <cell r="E389">
            <v>8.6311829664357034E-3</v>
          </cell>
          <cell r="F389">
            <v>2.9919788441186354E-3</v>
          </cell>
          <cell r="G389">
            <v>5.3337474010674291E-4</v>
          </cell>
          <cell r="H389">
            <v>5.417636799411249E-4</v>
          </cell>
          <cell r="I389">
            <v>4.9947180431427304E-2</v>
          </cell>
          <cell r="J389">
            <v>4.9766516712487739E-2</v>
          </cell>
        </row>
        <row r="390">
          <cell r="B390" t="str">
            <v>D-EH2R</v>
          </cell>
          <cell r="C390" t="str">
            <v>VAR_fout</v>
          </cell>
          <cell r="D390" t="str">
            <v>EH2</v>
          </cell>
          <cell r="E390"/>
          <cell r="F390"/>
          <cell r="G390"/>
          <cell r="H390"/>
          <cell r="I390">
            <v>8.9643865451989463E-3</v>
          </cell>
          <cell r="J390">
            <v>9.7709264469186211E-3</v>
          </cell>
        </row>
        <row r="391">
          <cell r="B391" t="str">
            <v>D-EH2R</v>
          </cell>
          <cell r="C391" t="str">
            <v>VAR_fin</v>
          </cell>
          <cell r="D391" t="str">
            <v>H2</v>
          </cell>
          <cell r="E391"/>
          <cell r="F391"/>
          <cell r="G391"/>
          <cell r="H391"/>
          <cell r="I391">
            <v>8.9643865451989463E-3</v>
          </cell>
          <cell r="J391">
            <v>9.7709264469186211E-3</v>
          </cell>
        </row>
        <row r="392">
          <cell r="B392" t="str">
            <v>D-EH2R</v>
          </cell>
          <cell r="C392" t="str">
            <v>VAR_ncap</v>
          </cell>
          <cell r="D392" t="str">
            <v>-</v>
          </cell>
          <cell r="E392"/>
          <cell r="F392"/>
          <cell r="G392"/>
          <cell r="H392">
            <v>1.2630863695377101E-6</v>
          </cell>
          <cell r="I392">
            <v>1.16632018380151E-3</v>
          </cell>
          <cell r="J392">
            <v>5.0313986292753303E-4</v>
          </cell>
        </row>
        <row r="393">
          <cell r="B393" t="str">
            <v>D-EH2R</v>
          </cell>
          <cell r="C393" t="str">
            <v>VAR_cap</v>
          </cell>
          <cell r="D393" t="str">
            <v>-</v>
          </cell>
          <cell r="E393"/>
          <cell r="F393"/>
          <cell r="G393"/>
          <cell r="H393">
            <v>1.2630863695377101E-6</v>
          </cell>
          <cell r="I393">
            <v>1.1669283102263501E-3</v>
          </cell>
          <cell r="J393">
            <v>9.0262930638631905E-4</v>
          </cell>
        </row>
        <row r="394">
          <cell r="B394" t="str">
            <v>G-INTC1</v>
          </cell>
          <cell r="C394" t="str">
            <v>VAR_fout</v>
          </cell>
          <cell r="D394" t="str">
            <v>ELC13</v>
          </cell>
          <cell r="E394">
            <v>125.02541380283847</v>
          </cell>
          <cell r="F394">
            <v>140.10014537835124</v>
          </cell>
          <cell r="G394">
            <v>126.10665607971355</v>
          </cell>
          <cell r="H394">
            <v>124.14283259045482</v>
          </cell>
          <cell r="I394">
            <v>99.665528848330609</v>
          </cell>
          <cell r="J394">
            <v>71.561290097783143</v>
          </cell>
        </row>
        <row r="395">
          <cell r="B395" t="str">
            <v>G-INTC1</v>
          </cell>
          <cell r="C395" t="str">
            <v>VAR_fin</v>
          </cell>
          <cell r="D395" t="str">
            <v>ELC</v>
          </cell>
          <cell r="E395">
            <v>126.34206110854525</v>
          </cell>
          <cell r="F395">
            <v>143.73151801595219</v>
          </cell>
          <cell r="G395">
            <v>129.0944761096606</v>
          </cell>
          <cell r="H395">
            <v>126.62599824123808</v>
          </cell>
          <cell r="I395">
            <v>100.93139181161268</v>
          </cell>
          <cell r="J395">
            <v>71.955129073111706</v>
          </cell>
        </row>
        <row r="396">
          <cell r="B396" t="str">
            <v>G-INTC1</v>
          </cell>
          <cell r="C396" t="str">
            <v>VAR_ncap</v>
          </cell>
          <cell r="D396" t="str">
            <v>-</v>
          </cell>
          <cell r="E396">
            <v>4.9393284784620601E-7</v>
          </cell>
          <cell r="F396">
            <v>5.3590573352228196E-7</v>
          </cell>
          <cell r="G396">
            <v>6.2369324655912604E-7</v>
          </cell>
          <cell r="H396">
            <v>9.1028423972651E-7</v>
          </cell>
          <cell r="I396">
            <v>2.4251378393829398E-6</v>
          </cell>
          <cell r="J396">
            <v>8.3872437119311694E-6</v>
          </cell>
        </row>
        <row r="397">
          <cell r="B397" t="str">
            <v>G-INTC1</v>
          </cell>
          <cell r="C397" t="str">
            <v>VAR_cap</v>
          </cell>
          <cell r="D397" t="str">
            <v>-</v>
          </cell>
          <cell r="E397">
            <v>15.305609183965201</v>
          </cell>
          <cell r="F397">
            <v>15.305609183965201</v>
          </cell>
          <cell r="G397">
            <v>15.305609183965201</v>
          </cell>
          <cell r="H397">
            <v>15.305609674106728</v>
          </cell>
          <cell r="I397">
            <v>15.305611747781269</v>
          </cell>
          <cell r="J397">
            <v>15.305616327852901</v>
          </cell>
        </row>
        <row r="398">
          <cell r="B398" t="str">
            <v>EHYD-RUNS00</v>
          </cell>
          <cell r="C398" t="str">
            <v>VAR_fout</v>
          </cell>
          <cell r="D398" t="str">
            <v>ELC35</v>
          </cell>
          <cell r="E398">
            <v>12.240000847972684</v>
          </cell>
          <cell r="F398">
            <v>12.237570148828052</v>
          </cell>
          <cell r="G398">
            <v>12.239593521182972</v>
          </cell>
          <cell r="H398">
            <v>12.247642691187684</v>
          </cell>
          <cell r="I398">
            <v>12.263187009740019</v>
          </cell>
          <cell r="J398">
            <v>12.27953702639557</v>
          </cell>
        </row>
        <row r="399">
          <cell r="B399" t="str">
            <v>EHYD-RUNS00</v>
          </cell>
          <cell r="C399" t="str">
            <v>VAR_fin</v>
          </cell>
          <cell r="D399" t="str">
            <v>HYDR</v>
          </cell>
          <cell r="E399">
            <v>12.240000847972684</v>
          </cell>
          <cell r="F399">
            <v>12.237570148828052</v>
          </cell>
          <cell r="G399">
            <v>12.239593521182972</v>
          </cell>
          <cell r="H399">
            <v>12.247642691187684</v>
          </cell>
          <cell r="I399">
            <v>12.263187009740019</v>
          </cell>
          <cell r="J399">
            <v>12.27953702639557</v>
          </cell>
        </row>
        <row r="400">
          <cell r="B400" t="str">
            <v>EHYD-RUNS00</v>
          </cell>
          <cell r="C400" t="str">
            <v>VAR_cap</v>
          </cell>
          <cell r="D400" t="str">
            <v>-</v>
          </cell>
          <cell r="E400">
            <v>0.85785999999999896</v>
          </cell>
          <cell r="F400">
            <v>0.88297936593724102</v>
          </cell>
          <cell r="G400">
            <v>0.89707999999999899</v>
          </cell>
          <cell r="H400">
            <v>0.89707999999999899</v>
          </cell>
          <cell r="I400">
            <v>0.89707999999999899</v>
          </cell>
          <cell r="J400">
            <v>0.89707999999999899</v>
          </cell>
        </row>
        <row r="401">
          <cell r="B401" t="str">
            <v>RHNS-SHSTG-CHPWOD</v>
          </cell>
          <cell r="C401" t="str">
            <v>VAR_fout</v>
          </cell>
          <cell r="D401" t="str">
            <v>AUX_RNS-CHPWOD_OUT</v>
          </cell>
          <cell r="E401">
            <v>1.1067756532456654E-3</v>
          </cell>
          <cell r="F401">
            <v>8.1879974698693026E-4</v>
          </cell>
          <cell r="G401">
            <v>4.5936861940923016E-4</v>
          </cell>
          <cell r="H401">
            <v>1.3191693433340617E-3</v>
          </cell>
          <cell r="I401">
            <v>3.1025892983602122E-3</v>
          </cell>
          <cell r="J401">
            <v>7.5795391782522972E-3</v>
          </cell>
        </row>
        <row r="402">
          <cell r="B402" t="str">
            <v>RHNS-SHSTG-CHPWOD</v>
          </cell>
          <cell r="C402" t="str">
            <v>VAR_fout</v>
          </cell>
          <cell r="D402" t="str">
            <v>RHNS_LTH_CHPWOD</v>
          </cell>
          <cell r="E402">
            <v>1.1067756532456632E-3</v>
          </cell>
          <cell r="F402">
            <v>8.1934561348491984E-4</v>
          </cell>
          <cell r="G402">
            <v>4.5984712838778059E-4</v>
          </cell>
          <cell r="H402">
            <v>1.3191693433340617E-3</v>
          </cell>
          <cell r="I402">
            <v>3.1025892983602018E-3</v>
          </cell>
          <cell r="J402">
            <v>7.5795391782522903E-3</v>
          </cell>
        </row>
        <row r="403">
          <cell r="B403" t="str">
            <v>RHNS-SHSTG-CHPWOD</v>
          </cell>
          <cell r="C403" t="str">
            <v>VAR_fin</v>
          </cell>
          <cell r="D403" t="str">
            <v>AUX_RNS-CHPWOD_IN</v>
          </cell>
          <cell r="E403">
            <v>8.6432739256308709E-4</v>
          </cell>
          <cell r="F403">
            <v>5.7863074458829316E-4</v>
          </cell>
          <cell r="G403">
            <v>3.6640826164157411E-4</v>
          </cell>
          <cell r="H403">
            <v>1.6560039505155841E-3</v>
          </cell>
          <cell r="I403">
            <v>3.6571473281955826E-3</v>
          </cell>
          <cell r="J403">
            <v>8.428968848435173E-3</v>
          </cell>
        </row>
        <row r="404">
          <cell r="B404" t="str">
            <v>RHNS-SHSTG-CHPWOD</v>
          </cell>
          <cell r="C404" t="str">
            <v>VAR_fin</v>
          </cell>
          <cell r="D404" t="str">
            <v>RHNS_LTH_CHPWOD</v>
          </cell>
          <cell r="E404">
            <v>8.6432739256308709E-4</v>
          </cell>
          <cell r="F404">
            <v>5.7863074458829316E-4</v>
          </cell>
          <cell r="G404">
            <v>3.6640826164157411E-4</v>
          </cell>
          <cell r="H404">
            <v>1.6560039505155841E-3</v>
          </cell>
          <cell r="I404">
            <v>3.6571473281955826E-3</v>
          </cell>
          <cell r="J404">
            <v>8.428968848435173E-3</v>
          </cell>
        </row>
        <row r="405">
          <cell r="B405" t="str">
            <v>RHNS-SHSTG-CHPWOD</v>
          </cell>
          <cell r="C405" t="str">
            <v>VAR_ncap</v>
          </cell>
          <cell r="D405" t="str">
            <v>-</v>
          </cell>
          <cell r="E405">
            <v>4.28187110477891E-3</v>
          </cell>
          <cell r="F405">
            <v>9.6124457616587395E-5</v>
          </cell>
          <cell r="G405">
            <v>1.47504415026744E-4</v>
          </cell>
          <cell r="H405">
            <v>1.19579262913176E-4</v>
          </cell>
          <cell r="I405">
            <v>3.3483717976171299E-4</v>
          </cell>
          <cell r="J405">
            <v>7.77584096701567E-4</v>
          </cell>
        </row>
        <row r="406">
          <cell r="B406" t="str">
            <v>RHNS-SHSTG-CHPWOD</v>
          </cell>
          <cell r="C406" t="str">
            <v>VAR_cap</v>
          </cell>
          <cell r="D406" t="str">
            <v>-</v>
          </cell>
          <cell r="E406">
            <v>4.28187110477891E-3</v>
          </cell>
          <cell r="F406">
            <v>4.3661058925502077E-3</v>
          </cell>
          <cell r="G406">
            <v>4.4785945852269769E-3</v>
          </cell>
          <cell r="H406">
            <v>4.5480693840952314E-3</v>
          </cell>
          <cell r="I406">
            <v>5.8940009543233867E-3</v>
          </cell>
          <cell r="J406">
            <v>3.3200128230197802E-3</v>
          </cell>
        </row>
        <row r="407">
          <cell r="B407" t="str">
            <v>HPLOIL</v>
          </cell>
          <cell r="C407" t="str">
            <v>VAR_fout</v>
          </cell>
          <cell r="D407" t="str">
            <v>LTH</v>
          </cell>
          <cell r="E407">
            <v>0.18411968437606124</v>
          </cell>
          <cell r="F407">
            <v>0.18479633797709649</v>
          </cell>
          <cell r="G407">
            <v>4.2616585829279149E-3</v>
          </cell>
          <cell r="H407">
            <v>6.473148390706197E-4</v>
          </cell>
          <cell r="I407">
            <v>2.7801913942633062E-4</v>
          </cell>
          <cell r="J407">
            <v>1.2769491224645839E-5</v>
          </cell>
        </row>
        <row r="408">
          <cell r="B408" t="str">
            <v>HPLOIL</v>
          </cell>
          <cell r="C408" t="str">
            <v>VAR_fout</v>
          </cell>
          <cell r="D408" t="str">
            <v>CO2_E</v>
          </cell>
          <cell r="E408">
            <v>15.8810242342271</v>
          </cell>
          <cell r="F408">
            <v>15.9393881852225</v>
          </cell>
          <cell r="G408">
            <v>0.36758428878927402</v>
          </cell>
          <cell r="H408">
            <v>5.5833371001541302E-2</v>
          </cell>
          <cell r="I408">
            <v>2.3980209969242001E-2</v>
          </cell>
          <cell r="J408">
            <v>1.1014172671681901E-3</v>
          </cell>
        </row>
        <row r="409">
          <cell r="B409" t="str">
            <v>HPLOIL</v>
          </cell>
          <cell r="C409" t="str">
            <v>VAR_fin</v>
          </cell>
          <cell r="D409" t="str">
            <v>ELFO</v>
          </cell>
          <cell r="E409">
            <v>0.21548201131922737</v>
          </cell>
          <cell r="F409">
            <v>0.21627392381577321</v>
          </cell>
          <cell r="G409">
            <v>4.9875751531787537E-3</v>
          </cell>
          <cell r="H409">
            <v>7.5757626867762901E-4</v>
          </cell>
          <cell r="I409">
            <v>3.2537598330043384E-4</v>
          </cell>
          <cell r="J409">
            <v>1.494460335370675E-5</v>
          </cell>
        </row>
        <row r="410">
          <cell r="B410" t="str">
            <v>HPLOIL</v>
          </cell>
          <cell r="C410" t="str">
            <v>VAR_ncap</v>
          </cell>
          <cell r="D410" t="str">
            <v>-</v>
          </cell>
          <cell r="E410">
            <v>6.4012898999511495E-5</v>
          </cell>
          <cell r="F410">
            <v>3.8234512868046101E-5</v>
          </cell>
          <cell r="G410">
            <v>2.2721927059946599E-5</v>
          </cell>
          <cell r="H410">
            <v>3.11943337724797E-5</v>
          </cell>
          <cell r="I410">
            <v>6.4400298253569906E-5</v>
          </cell>
          <cell r="J410">
            <v>4.1211076566883302E-5</v>
          </cell>
        </row>
        <row r="411">
          <cell r="B411" t="str">
            <v>HPLOIL</v>
          </cell>
          <cell r="C411" t="str">
            <v>VAR_cap</v>
          </cell>
          <cell r="D411" t="str">
            <v>-</v>
          </cell>
          <cell r="E411">
            <v>3.2732236947371166E-2</v>
          </cell>
          <cell r="F411">
            <v>2.4483678900500863E-2</v>
          </cell>
          <cell r="G411">
            <v>7.5629232899427079E-3</v>
          </cell>
          <cell r="H411">
            <v>3.1986126582395826E-3</v>
          </cell>
          <cell r="I411">
            <v>1.2621561093292205E-3</v>
          </cell>
          <cell r="J411">
            <v>1.0091614663278545E-3</v>
          </cell>
        </row>
        <row r="412">
          <cell r="B412" t="str">
            <v>V2G</v>
          </cell>
          <cell r="C412" t="str">
            <v>VAR_fout</v>
          </cell>
          <cell r="D412" t="str">
            <v>ELC35</v>
          </cell>
          <cell r="E412"/>
          <cell r="F412"/>
          <cell r="G412"/>
          <cell r="H412">
            <v>0.49167157379897358</v>
          </cell>
          <cell r="I412">
            <v>3.0595746532849528</v>
          </cell>
          <cell r="J412">
            <v>8.5185092376245102</v>
          </cell>
        </row>
        <row r="413">
          <cell r="B413" t="str">
            <v>V2G</v>
          </cell>
          <cell r="C413" t="str">
            <v>VAR_fin</v>
          </cell>
          <cell r="D413" t="str">
            <v>T-ELC-Bus_c_BatSTGout_S1</v>
          </cell>
          <cell r="E413"/>
          <cell r="F413"/>
          <cell r="G413"/>
          <cell r="H413">
            <v>8.0198473374159755E-3</v>
          </cell>
          <cell r="I413">
            <v>6.8606924460653772E-3</v>
          </cell>
          <cell r="J413">
            <v>4.8688640707251199E-3</v>
          </cell>
        </row>
        <row r="414">
          <cell r="B414" t="str">
            <v>V2G</v>
          </cell>
          <cell r="C414" t="str">
            <v>VAR_fin</v>
          </cell>
          <cell r="D414" t="str">
            <v>T-ELC-Bus_c_BatSTGout_S2</v>
          </cell>
          <cell r="E414"/>
          <cell r="F414"/>
          <cell r="G414"/>
          <cell r="H414">
            <v>8.8699470857023961E-3</v>
          </cell>
          <cell r="I414">
            <v>7.8197905522545581E-3</v>
          </cell>
          <cell r="J414">
            <v>5.4826943212015356E-3</v>
          </cell>
        </row>
        <row r="415">
          <cell r="B415" t="str">
            <v>V2G</v>
          </cell>
          <cell r="C415" t="str">
            <v>VAR_fin</v>
          </cell>
          <cell r="D415" t="str">
            <v>T-ELC-Bus_c_BatSTGout_S3</v>
          </cell>
          <cell r="E415"/>
          <cell r="F415"/>
          <cell r="G415"/>
          <cell r="H415">
            <v>2.6432581661862682E-3</v>
          </cell>
          <cell r="I415">
            <v>3.2676696692962234E-3</v>
          </cell>
          <cell r="J415">
            <v>2.9174395016898411E-3</v>
          </cell>
        </row>
        <row r="416">
          <cell r="B416" t="str">
            <v>V2G</v>
          </cell>
          <cell r="C416" t="str">
            <v>VAR_fin</v>
          </cell>
          <cell r="D416" t="str">
            <v>T-ELC-Bus_c_BatSTGout_S4</v>
          </cell>
          <cell r="E416"/>
          <cell r="F416"/>
          <cell r="G416"/>
          <cell r="H416">
            <v>3.8977856318023587E-5</v>
          </cell>
          <cell r="I416">
            <v>8.0257610472572283E-4</v>
          </cell>
          <cell r="J416">
            <v>7.1776537058544578E-4</v>
          </cell>
        </row>
        <row r="417">
          <cell r="B417" t="str">
            <v>V2G</v>
          </cell>
          <cell r="C417" t="str">
            <v>VAR_fin</v>
          </cell>
          <cell r="D417" t="str">
            <v>T-ELC-car-BatSTGOut_S1</v>
          </cell>
          <cell r="E417"/>
          <cell r="F417"/>
          <cell r="G417"/>
          <cell r="H417">
            <v>7.7802913413241165E-2</v>
          </cell>
          <cell r="I417">
            <v>1.1118361949915772</v>
          </cell>
          <cell r="J417">
            <v>3.130761008506413</v>
          </cell>
        </row>
        <row r="418">
          <cell r="B418" t="str">
            <v>V2G</v>
          </cell>
          <cell r="C418" t="str">
            <v>VAR_fin</v>
          </cell>
          <cell r="D418" t="str">
            <v>T-ELC-car-BatSTGOut_S2</v>
          </cell>
          <cell r="E418"/>
          <cell r="F418"/>
          <cell r="G418"/>
          <cell r="H418">
            <v>5.4361965850466452E-2</v>
          </cell>
          <cell r="I418">
            <v>0.41484107442265672</v>
          </cell>
          <cell r="J418">
            <v>1.5424122147700745</v>
          </cell>
        </row>
        <row r="419">
          <cell r="B419" t="str">
            <v>V2G</v>
          </cell>
          <cell r="C419" t="str">
            <v>VAR_fin</v>
          </cell>
          <cell r="D419" t="str">
            <v>T-ELC-car-BatSTGOut_S3</v>
          </cell>
          <cell r="E419"/>
          <cell r="F419"/>
          <cell r="G419"/>
          <cell r="H419">
            <v>0.10892702432821116</v>
          </cell>
          <cell r="I419">
            <v>0.4410325336740048</v>
          </cell>
          <cell r="J419">
            <v>1.3251839872283133</v>
          </cell>
        </row>
        <row r="420">
          <cell r="B420" t="str">
            <v>V2G</v>
          </cell>
          <cell r="C420" t="str">
            <v>VAR_fin</v>
          </cell>
          <cell r="D420" t="str">
            <v>T-ELC-car-BatSTGOut_S4</v>
          </cell>
          <cell r="E420"/>
          <cell r="F420"/>
          <cell r="G420"/>
          <cell r="H420">
            <v>6.2836340737943031E-2</v>
          </cell>
          <cell r="I420">
            <v>0.42782875966887179</v>
          </cell>
          <cell r="J420">
            <v>1.4271426569011734</v>
          </cell>
        </row>
        <row r="421">
          <cell r="B421" t="str">
            <v>V2G</v>
          </cell>
          <cell r="C421" t="str">
            <v>VAR_fin</v>
          </cell>
          <cell r="D421" t="str">
            <v>T-ELC-car-PlgSTGOut_S1</v>
          </cell>
          <cell r="E421"/>
          <cell r="F421"/>
          <cell r="G421"/>
          <cell r="H421">
            <v>4.6646348827649184E-3</v>
          </cell>
          <cell r="I421">
            <v>6.784626339131291E-3</v>
          </cell>
          <cell r="J421">
            <v>1.5173021742126269E-3</v>
          </cell>
        </row>
        <row r="422">
          <cell r="B422" t="str">
            <v>V2G</v>
          </cell>
          <cell r="C422" t="str">
            <v>VAR_fin</v>
          </cell>
          <cell r="D422" t="str">
            <v>T-ELC-car-PlgSTGOut_S2</v>
          </cell>
          <cell r="E422"/>
          <cell r="F422"/>
          <cell r="G422"/>
          <cell r="H422">
            <v>7.1695744701390685E-4</v>
          </cell>
          <cell r="I422">
            <v>1.3103399049621252E-3</v>
          </cell>
          <cell r="J422">
            <v>3.7643871234874227E-3</v>
          </cell>
        </row>
        <row r="423">
          <cell r="B423" t="str">
            <v>V2G</v>
          </cell>
          <cell r="C423" t="str">
            <v>VAR_fin</v>
          </cell>
          <cell r="D423" t="str">
            <v>T-ELC-car-PlgSTGOut_S3</v>
          </cell>
          <cell r="E423"/>
          <cell r="F423"/>
          <cell r="G423"/>
          <cell r="H423">
            <v>8.7356984198724133E-2</v>
          </cell>
          <cell r="I423">
            <v>0.4388887592287819</v>
          </cell>
          <cell r="J423">
            <v>0.92450668118804313</v>
          </cell>
        </row>
        <row r="424">
          <cell r="B424" t="str">
            <v>V2G</v>
          </cell>
          <cell r="C424" t="str">
            <v>VAR_fin</v>
          </cell>
          <cell r="D424" t="str">
            <v>T-ELC-TWSTGout_S1</v>
          </cell>
          <cell r="E424"/>
          <cell r="F424"/>
          <cell r="G424"/>
          <cell r="H424">
            <v>7.393142376743469E-3</v>
          </cell>
          <cell r="I424">
            <v>5.0571728493386597E-3</v>
          </cell>
          <cell r="J424">
            <v>4.0826129357902545E-3</v>
          </cell>
        </row>
        <row r="425">
          <cell r="B425" t="str">
            <v>V2G</v>
          </cell>
          <cell r="C425" t="str">
            <v>VAR_fin</v>
          </cell>
          <cell r="D425" t="str">
            <v>T-ELC-car-PlgSTGOut_S4</v>
          </cell>
          <cell r="E425"/>
          <cell r="F425"/>
          <cell r="G425"/>
          <cell r="H425">
            <v>6.5505599968256165E-4</v>
          </cell>
          <cell r="I425">
            <v>1.5888431456109093E-2</v>
          </cell>
          <cell r="J425">
            <v>5.9047444101302153E-3</v>
          </cell>
        </row>
        <row r="426">
          <cell r="B426" t="str">
            <v>V2G</v>
          </cell>
          <cell r="C426" t="str">
            <v>VAR_fin</v>
          </cell>
          <cell r="D426" t="str">
            <v>T-ELC-TWSTGout_S2</v>
          </cell>
          <cell r="E426"/>
          <cell r="F426"/>
          <cell r="G426"/>
          <cell r="H426">
            <v>1.0382677477221299E-2</v>
          </cell>
          <cell r="I426">
            <v>1.363341662969675E-2</v>
          </cell>
          <cell r="J426">
            <v>1.0194157987654407E-2</v>
          </cell>
        </row>
        <row r="427">
          <cell r="B427" t="str">
            <v>V2G</v>
          </cell>
          <cell r="C427" t="str">
            <v>VAR_fin</v>
          </cell>
          <cell r="D427" t="str">
            <v>T-ELC-TWSTGout_S3</v>
          </cell>
          <cell r="E427"/>
          <cell r="F427"/>
          <cell r="G427"/>
          <cell r="H427">
            <v>1.2340984131973629E-2</v>
          </cell>
          <cell r="I427">
            <v>2.4537931530779666E-2</v>
          </cell>
          <cell r="J427">
            <v>1.5193206867083704E-2</v>
          </cell>
        </row>
        <row r="428">
          <cell r="B428" t="str">
            <v>V2G</v>
          </cell>
          <cell r="C428" t="str">
            <v>VAR_fin</v>
          </cell>
          <cell r="D428" t="str">
            <v>T-ELC-TWSTGout_S4</v>
          </cell>
          <cell r="E428"/>
          <cell r="F428"/>
          <cell r="G428"/>
          <cell r="H428">
            <v>1.2633678029772243E-2</v>
          </cell>
          <cell r="I428">
            <v>2.7537811023488755E-2</v>
          </cell>
          <cell r="J428">
            <v>2.3788693267937908E-2</v>
          </cell>
        </row>
        <row r="429">
          <cell r="B429" t="str">
            <v>V2G</v>
          </cell>
          <cell r="C429" t="str">
            <v>VAR_fin</v>
          </cell>
          <cell r="D429" t="str">
            <v>T-ELC-Bus_u_BatSTGout_S1</v>
          </cell>
          <cell r="E429"/>
          <cell r="F429"/>
          <cell r="H429">
            <v>4.9763916233918769E-4</v>
          </cell>
          <cell r="I429">
            <v>6.7076647381678013E-4</v>
          </cell>
          <cell r="J429">
            <v>5.3965415580089202E-4</v>
          </cell>
        </row>
        <row r="430">
          <cell r="B430" t="str">
            <v>V2G</v>
          </cell>
          <cell r="C430" t="str">
            <v>VAR_fin</v>
          </cell>
          <cell r="D430" t="str">
            <v>T-ELC-Bus_u_BatSTGout_S2</v>
          </cell>
          <cell r="E430"/>
          <cell r="F430"/>
          <cell r="H430">
            <v>4.2895311386592064E-4</v>
          </cell>
          <cell r="I430">
            <v>6.1164349968285351E-4</v>
          </cell>
          <cell r="J430">
            <v>5.0447394285025877E-4</v>
          </cell>
        </row>
        <row r="431">
          <cell r="B431" t="str">
            <v>V2G</v>
          </cell>
          <cell r="C431" t="str">
            <v>VAR_fin</v>
          </cell>
          <cell r="D431" t="str">
            <v>T-ELC-Bus_u_BatSTGout_S3</v>
          </cell>
          <cell r="E431"/>
          <cell r="F431"/>
          <cell r="H431">
            <v>1.9605314336236621E-4</v>
          </cell>
          <cell r="I431">
            <v>2.6278454719749257E-4</v>
          </cell>
          <cell r="J431">
            <v>2.418660492110522E-4</v>
          </cell>
        </row>
        <row r="432">
          <cell r="B432" t="str">
            <v>V2G</v>
          </cell>
          <cell r="C432" t="str">
            <v>VAR_fin</v>
          </cell>
          <cell r="D432" t="str">
            <v>T-ELC-Bus_u_BatSTGout_S4</v>
          </cell>
          <cell r="E432"/>
          <cell r="F432"/>
          <cell r="H432">
            <v>3.3557047713720435E-4</v>
          </cell>
          <cell r="I432">
            <v>7.5992088303819625E-4</v>
          </cell>
          <cell r="J432">
            <v>4.9770796065130363E-4</v>
          </cell>
        </row>
        <row r="433">
          <cell r="B433" t="str">
            <v>V2G</v>
          </cell>
          <cell r="C433" t="str">
            <v>VAR_fin</v>
          </cell>
          <cell r="D433" t="str">
            <v>T-ELC-LGV_BatSTGout</v>
          </cell>
          <cell r="E433"/>
          <cell r="F433"/>
          <cell r="H433">
            <v>1.8602808985423961E-3</v>
          </cell>
          <cell r="I433">
            <v>1.8310546875723991E-3</v>
          </cell>
          <cell r="J433">
            <v>1.2499153655453014E-3</v>
          </cell>
        </row>
        <row r="434">
          <cell r="B434" t="str">
            <v>V2G</v>
          </cell>
          <cell r="C434" t="str">
            <v>VAR_fin</v>
          </cell>
          <cell r="D434" t="str">
            <v>T-ELC-HGV_BatSTGout</v>
          </cell>
          <cell r="E434"/>
          <cell r="F434"/>
          <cell r="H434">
            <v>2.9001798261017148E-2</v>
          </cell>
          <cell r="I434">
            <v>0.10778919541052479</v>
          </cell>
          <cell r="J434">
            <v>8.725804388070732E-2</v>
          </cell>
        </row>
        <row r="435">
          <cell r="B435" t="str">
            <v>V2G</v>
          </cell>
          <cell r="C435" t="str">
            <v>VAR_ncap</v>
          </cell>
          <cell r="D435" t="str">
            <v>-</v>
          </cell>
          <cell r="E435"/>
          <cell r="F435"/>
          <cell r="H435">
            <v>0.43162127303481701</v>
          </cell>
          <cell r="I435">
            <v>2.65493215033674</v>
          </cell>
          <cell r="J435">
            <v>5.0538353067005604</v>
          </cell>
        </row>
        <row r="436">
          <cell r="B436" t="str">
            <v>V2G</v>
          </cell>
          <cell r="C436" t="str">
            <v>VAR_cap</v>
          </cell>
          <cell r="D436" t="str">
            <v>-</v>
          </cell>
          <cell r="E436"/>
          <cell r="F436"/>
          <cell r="G436"/>
          <cell r="H436">
            <v>0.43162127303481701</v>
          </cell>
          <cell r="I436">
            <v>4.5010581378688528</v>
          </cell>
          <cell r="J436">
            <v>7.6368149303931432</v>
          </cell>
        </row>
        <row r="437">
          <cell r="B437" t="str">
            <v>D-EBIO</v>
          </cell>
          <cell r="C437" t="str">
            <v>VAR_fout</v>
          </cell>
          <cell r="D437" t="str">
            <v>EBIO</v>
          </cell>
          <cell r="E437">
            <v>1.1840229589538735</v>
          </cell>
          <cell r="F437">
            <v>1.1839651491832015</v>
          </cell>
          <cell r="G437">
            <v>1.1839685960860244</v>
          </cell>
          <cell r="H437">
            <v>1.1839681939553308</v>
          </cell>
          <cell r="I437">
            <v>2.1446144418657873</v>
          </cell>
          <cell r="J437">
            <v>2.8674917522537022</v>
          </cell>
        </row>
        <row r="438">
          <cell r="B438" t="str">
            <v>D-EBIO</v>
          </cell>
          <cell r="C438" t="str">
            <v>VAR_fin</v>
          </cell>
          <cell r="D438" t="str">
            <v>BIO</v>
          </cell>
          <cell r="E438">
            <v>1.1840229589538735</v>
          </cell>
          <cell r="F438">
            <v>1.1839651491832015</v>
          </cell>
          <cell r="G438">
            <v>1.1839685960860244</v>
          </cell>
          <cell r="H438">
            <v>1.1839681939553308</v>
          </cell>
          <cell r="I438">
            <v>2.1446144418657873</v>
          </cell>
          <cell r="J438">
            <v>2.8674917522537022</v>
          </cell>
        </row>
        <row r="439">
          <cell r="B439" t="str">
            <v>G-INTC3</v>
          </cell>
          <cell r="C439" t="str">
            <v>VAR_fout</v>
          </cell>
          <cell r="D439" t="str">
            <v>ELC35</v>
          </cell>
          <cell r="E439">
            <v>143.66631498323449</v>
          </cell>
          <cell r="F439">
            <v>105.66535049293323</v>
          </cell>
          <cell r="G439">
            <v>98.299182455358519</v>
          </cell>
          <cell r="H439">
            <v>131.337597398025</v>
          </cell>
          <cell r="I439">
            <v>119.23528619407534</v>
          </cell>
          <cell r="J439">
            <v>97.041818837926002</v>
          </cell>
        </row>
        <row r="440">
          <cell r="B440" t="str">
            <v>G-INTC3</v>
          </cell>
          <cell r="C440" t="str">
            <v>VAR_fout</v>
          </cell>
          <cell r="D440" t="str">
            <v>ELC3</v>
          </cell>
          <cell r="E440">
            <v>32.152020100401636</v>
          </cell>
          <cell r="F440">
            <v>69.684726491925247</v>
          </cell>
          <cell r="G440">
            <v>73.562514958455949</v>
          </cell>
          <cell r="H440">
            <v>40.847603522091013</v>
          </cell>
          <cell r="I440">
            <v>29.586673667946105</v>
          </cell>
          <cell r="J440">
            <v>26.309281399826755</v>
          </cell>
        </row>
        <row r="441">
          <cell r="B441" t="str">
            <v>G-INTC3</v>
          </cell>
          <cell r="C441" t="str">
            <v>VAR_fout</v>
          </cell>
          <cell r="D441" t="str">
            <v>ELC</v>
          </cell>
          <cell r="E441">
            <v>5.6842686722791129E-2</v>
          </cell>
          <cell r="F441">
            <v>7.2603090249518856E-3</v>
          </cell>
          <cell r="G441">
            <v>1.1532379493294472E-2</v>
          </cell>
          <cell r="H441">
            <v>1.0560759324566581E-2</v>
          </cell>
          <cell r="I441">
            <v>1.8483072082815768</v>
          </cell>
          <cell r="J441">
            <v>2.5711674714686503</v>
          </cell>
        </row>
        <row r="442">
          <cell r="B442" t="str">
            <v>G-INTC3</v>
          </cell>
          <cell r="C442" t="str">
            <v>VAR_fin</v>
          </cell>
          <cell r="D442" t="str">
            <v>ELC13</v>
          </cell>
          <cell r="E442">
            <v>179.55950874844234</v>
          </cell>
          <cell r="F442">
            <v>183.62140154376175</v>
          </cell>
          <cell r="G442">
            <v>179.38171733205954</v>
          </cell>
          <cell r="H442">
            <v>178.7395052948346</v>
          </cell>
          <cell r="I442">
            <v>154.71062424961858</v>
          </cell>
          <cell r="J442">
            <v>127.92059559993686</v>
          </cell>
        </row>
        <row r="443">
          <cell r="B443" t="str">
            <v>G-INTC3</v>
          </cell>
          <cell r="C443" t="str">
            <v>VAR_ncap</v>
          </cell>
          <cell r="D443" t="str">
            <v>-</v>
          </cell>
          <cell r="E443">
            <v>7.7656414081293505E-7</v>
          </cell>
          <cell r="F443">
            <v>8.4897166690721302E-7</v>
          </cell>
          <cell r="G443">
            <v>8.3877656935863295E-7</v>
          </cell>
          <cell r="H443">
            <v>1.57314777649925E-6</v>
          </cell>
          <cell r="I443">
            <v>3.6618826703274101E-6</v>
          </cell>
          <cell r="J443">
            <v>1.18908987514846E-5</v>
          </cell>
        </row>
        <row r="444">
          <cell r="B444" t="str">
            <v>G-INTC3</v>
          </cell>
          <cell r="C444" t="str">
            <v>VAR_cap</v>
          </cell>
          <cell r="D444" t="str">
            <v>-</v>
          </cell>
          <cell r="E444">
            <v>13.914190167241101</v>
          </cell>
          <cell r="F444">
            <v>13.914190167241101</v>
          </cell>
          <cell r="G444">
            <v>13.914190167241101</v>
          </cell>
          <cell r="H444">
            <v>13.914190940459678</v>
          </cell>
          <cell r="I444">
            <v>13.914194204701253</v>
          </cell>
          <cell r="J444">
            <v>13.914200653858872</v>
          </cell>
        </row>
        <row r="445">
          <cell r="B445" t="str">
            <v>HPLBIO</v>
          </cell>
          <cell r="C445" t="str">
            <v>VAR_fout</v>
          </cell>
          <cell r="D445" t="str">
            <v>LTH</v>
          </cell>
          <cell r="E445">
            <v>0.90182986643795204</v>
          </cell>
          <cell r="F445">
            <v>0.90178583470920082</v>
          </cell>
          <cell r="G445">
            <v>0.90178846009740787</v>
          </cell>
          <cell r="H445">
            <v>0.90178815380818678</v>
          </cell>
          <cell r="I445">
            <v>1.6334796053089655</v>
          </cell>
          <cell r="J445">
            <v>2.1840705743000979</v>
          </cell>
        </row>
        <row r="446">
          <cell r="B446" t="str">
            <v>HPLBIO</v>
          </cell>
          <cell r="C446" t="str">
            <v>VAR_fin</v>
          </cell>
          <cell r="D446" t="str">
            <v>EBIO</v>
          </cell>
          <cell r="E446">
            <v>1.1840229589538735</v>
          </cell>
          <cell r="F446">
            <v>1.1839651491832015</v>
          </cell>
          <cell r="G446">
            <v>1.1839685960860244</v>
          </cell>
          <cell r="H446">
            <v>1.1839681939553308</v>
          </cell>
          <cell r="I446">
            <v>2.1446144418657873</v>
          </cell>
          <cell r="J446">
            <v>2.8674917522537022</v>
          </cell>
        </row>
        <row r="447">
          <cell r="B447" t="str">
            <v>HPLBIO</v>
          </cell>
          <cell r="C447" t="str">
            <v>VAR_ncap</v>
          </cell>
          <cell r="D447" t="str">
            <v>-</v>
          </cell>
          <cell r="E447">
            <v>8.91263656373133E-5</v>
          </cell>
          <cell r="F447">
            <v>4.5855384464393902E-5</v>
          </cell>
          <cell r="G447">
            <v>2.88792444157759E-5</v>
          </cell>
          <cell r="H447">
            <v>6.2824939131980298E-2</v>
          </cell>
          <cell r="I447">
            <v>1.4085009689183999E-4</v>
          </cell>
          <cell r="J447">
            <v>0.145615307355517</v>
          </cell>
        </row>
        <row r="448">
          <cell r="B448" t="str">
            <v>HPLBIO</v>
          </cell>
          <cell r="C448" t="str">
            <v>VAR_cap</v>
          </cell>
          <cell r="D448" t="str">
            <v>-</v>
          </cell>
          <cell r="E448">
            <v>0.11446151007226381</v>
          </cell>
          <cell r="F448">
            <v>0.11448846935069178</v>
          </cell>
          <cell r="G448">
            <v>0.11450093964916415</v>
          </cell>
          <cell r="H448">
            <v>0.11439234853176694</v>
          </cell>
          <cell r="I448">
            <v>0.20725598868753886</v>
          </cell>
          <cell r="J448">
            <v>0.27702971389913233</v>
          </cell>
        </row>
        <row r="449">
          <cell r="B449" t="str">
            <v>G-INTC5</v>
          </cell>
          <cell r="C449" t="str">
            <v>VAR_fout</v>
          </cell>
          <cell r="D449" t="str">
            <v>ELC5</v>
          </cell>
          <cell r="E449">
            <v>188.51634080642754</v>
          </cell>
          <cell r="F449">
            <v>120.09026075828152</v>
          </cell>
          <cell r="G449">
            <v>111.35123053002185</v>
          </cell>
          <cell r="H449">
            <v>140.60946197095325</v>
          </cell>
          <cell r="I449">
            <v>128.35474163163076</v>
          </cell>
          <cell r="J449">
            <v>123.12775644787141</v>
          </cell>
        </row>
        <row r="450">
          <cell r="B450" t="str">
            <v>G-INTC5</v>
          </cell>
          <cell r="C450" t="str">
            <v>VAR_fout</v>
          </cell>
          <cell r="D450" t="str">
            <v>ELC13</v>
          </cell>
          <cell r="E450">
            <v>0.172189828107912</v>
          </cell>
          <cell r="F450">
            <v>6.2814990553382898E-3</v>
          </cell>
          <cell r="G450">
            <v>1.0712542595251215E-2</v>
          </cell>
          <cell r="H450">
            <v>1.3317055017890421E-2</v>
          </cell>
          <cell r="I450">
            <v>0.5170440023571109</v>
          </cell>
          <cell r="J450">
            <v>1.435271815464467</v>
          </cell>
        </row>
        <row r="451">
          <cell r="B451" t="str">
            <v>G-INTC5</v>
          </cell>
          <cell r="C451" t="str">
            <v>VAR_fin</v>
          </cell>
          <cell r="D451" t="str">
            <v>ELC35</v>
          </cell>
          <cell r="E451">
            <v>194.64801667954285</v>
          </cell>
          <cell r="F451">
            <v>125.77628052154995</v>
          </cell>
          <cell r="G451">
            <v>116.37541403749539</v>
          </cell>
          <cell r="H451">
            <v>146.42382597139732</v>
          </cell>
          <cell r="I451">
            <v>133.22752968935563</v>
          </cell>
          <cell r="J451">
            <v>127.8579084227313</v>
          </cell>
        </row>
        <row r="452">
          <cell r="B452" t="str">
            <v>G-INTC5</v>
          </cell>
          <cell r="C452" t="str">
            <v>VAR_ncap</v>
          </cell>
          <cell r="D452" t="str">
            <v>-</v>
          </cell>
          <cell r="E452">
            <v>4.4372354383539298E-6</v>
          </cell>
          <cell r="F452">
            <v>4.8189539758065197E-6</v>
          </cell>
          <cell r="G452">
            <v>7.4271280172572997E-6</v>
          </cell>
          <cell r="H452">
            <v>2.0451472770186401</v>
          </cell>
          <cell r="I452">
            <v>1.30372891305644</v>
          </cell>
          <cell r="J452">
            <v>0.97108944619203297</v>
          </cell>
        </row>
        <row r="453">
          <cell r="B453" t="str">
            <v>G-INTC5</v>
          </cell>
          <cell r="C453" t="str">
            <v>VAR_cap</v>
          </cell>
          <cell r="D453" t="str">
            <v>-</v>
          </cell>
          <cell r="E453">
            <v>12.649263788401001</v>
          </cell>
          <cell r="F453">
            <v>12.649263788401001</v>
          </cell>
          <cell r="G453">
            <v>12.649263788401001</v>
          </cell>
          <cell r="H453">
            <v>12.649268193474532</v>
          </cell>
          <cell r="I453">
            <v>14.69442774873707</v>
          </cell>
          <cell r="J453">
            <v>17.305924634343341</v>
          </cell>
        </row>
        <row r="454">
          <cell r="B454" t="str">
            <v>D-SLFO</v>
          </cell>
          <cell r="C454" t="str">
            <v>VAR_fout</v>
          </cell>
          <cell r="D454" t="str">
            <v>CO2</v>
          </cell>
          <cell r="E454">
            <v>2267.7892388262599</v>
          </cell>
          <cell r="F454">
            <v>1985.17602565522</v>
          </cell>
          <cell r="G454">
            <v>1914.02849709921</v>
          </cell>
          <cell r="H454">
            <v>1131.0170553364401</v>
          </cell>
          <cell r="I454">
            <v>393.24795598200302</v>
          </cell>
          <cell r="J454">
            <v>1.2334483381066801E-3</v>
          </cell>
        </row>
        <row r="455">
          <cell r="B455" t="str">
            <v>D-SLFO</v>
          </cell>
          <cell r="C455" t="str">
            <v>VAR_fout</v>
          </cell>
          <cell r="D455" t="str">
            <v>SLFO</v>
          </cell>
          <cell r="E455">
            <v>30.256642003618616</v>
          </cell>
          <cell r="F455">
            <v>26.486041689440217</v>
          </cell>
          <cell r="G455">
            <v>25.537028548543876</v>
          </cell>
          <cell r="H455">
            <v>15.091313013443793</v>
          </cell>
          <cell r="I455">
            <v>5.249055409020043</v>
          </cell>
          <cell r="J455">
            <v>0.39399026521064545</v>
          </cell>
        </row>
        <row r="456">
          <cell r="B456" t="str">
            <v>D-SLFO</v>
          </cell>
          <cell r="C456" t="str">
            <v>VAR_fin</v>
          </cell>
          <cell r="D456" t="str">
            <v>LFO</v>
          </cell>
          <cell r="E456">
            <v>30.770545981360417</v>
          </cell>
          <cell r="F456">
            <v>26.935902654751942</v>
          </cell>
          <cell r="G456">
            <v>25.970535917221294</v>
          </cell>
          <cell r="H456">
            <v>15.346228701987028</v>
          </cell>
          <cell r="I456">
            <v>5.3357931612212139</v>
          </cell>
          <cell r="J456">
            <v>1.6736069716508557E-5</v>
          </cell>
        </row>
        <row r="457">
          <cell r="B457" t="str">
            <v>D-SLFO</v>
          </cell>
          <cell r="C457" t="str">
            <v>VAR_fin</v>
          </cell>
          <cell r="D457" t="str">
            <v>BDS</v>
          </cell>
          <cell r="G457">
            <v>2.3291680520304907E-4</v>
          </cell>
          <cell r="H457">
            <v>1.4107104604283453E-3</v>
          </cell>
          <cell r="I457">
            <v>2.4257495888040741E-3</v>
          </cell>
          <cell r="J457">
            <v>0.40067223909006022</v>
          </cell>
        </row>
        <row r="458">
          <cell r="B458" t="str">
            <v>D-RCOA</v>
          </cell>
          <cell r="C458" t="str">
            <v>VAR_fout</v>
          </cell>
          <cell r="D458" t="str">
            <v>CO2</v>
          </cell>
          <cell r="E458">
            <v>9.2714494253999096</v>
          </cell>
          <cell r="F458">
            <v>9.2706171258528407</v>
          </cell>
          <cell r="G458">
            <v>2.4989238761534498</v>
          </cell>
          <cell r="H458">
            <v>2.11682684606645E-2</v>
          </cell>
        </row>
        <row r="459">
          <cell r="B459" t="str">
            <v>D-RCOA</v>
          </cell>
          <cell r="C459" t="str">
            <v>VAR_fout</v>
          </cell>
          <cell r="D459" t="str">
            <v>RCOA</v>
          </cell>
          <cell r="E459">
            <v>0.10001563565695698</v>
          </cell>
          <cell r="F459">
            <v>0.10000665723681604</v>
          </cell>
          <cell r="G459">
            <v>2.6957107617620768E-2</v>
          </cell>
          <cell r="H459">
            <v>2.2835241057890516E-4</v>
          </cell>
        </row>
        <row r="460">
          <cell r="B460" t="str">
            <v>D-RCOA</v>
          </cell>
          <cell r="C460" t="str">
            <v>VAR_fin</v>
          </cell>
          <cell r="D460" t="str">
            <v>COA</v>
          </cell>
          <cell r="E460">
            <v>0.10001563565695698</v>
          </cell>
          <cell r="F460">
            <v>0.10000665723681604</v>
          </cell>
          <cell r="G460">
            <v>2.6957107617620768E-2</v>
          </cell>
          <cell r="H460">
            <v>2.2835241057890516E-4</v>
          </cell>
        </row>
        <row r="461">
          <cell r="B461" t="str">
            <v>EHYD-RUN00</v>
          </cell>
          <cell r="C461" t="str">
            <v>VAR_fout</v>
          </cell>
          <cell r="D461" t="str">
            <v>ELC13</v>
          </cell>
          <cell r="E461">
            <v>54.39240975848822</v>
          </cell>
          <cell r="F461">
            <v>43.510393507225707</v>
          </cell>
          <cell r="G461">
            <v>53.243733856094252</v>
          </cell>
          <cell r="H461">
            <v>52.144986291099528</v>
          </cell>
          <cell r="I461">
            <v>49.956504241509847</v>
          </cell>
          <cell r="J461">
            <v>47.773950815133425</v>
          </cell>
        </row>
        <row r="462">
          <cell r="B462" t="str">
            <v>EHYD-RUN00</v>
          </cell>
          <cell r="C462" t="str">
            <v>VAR_fin</v>
          </cell>
          <cell r="D462" t="str">
            <v>HYDR</v>
          </cell>
          <cell r="E462">
            <v>54.39240975848822</v>
          </cell>
          <cell r="F462">
            <v>43.510393507225707</v>
          </cell>
          <cell r="G462">
            <v>53.243733856094252</v>
          </cell>
          <cell r="H462">
            <v>52.144986291099528</v>
          </cell>
          <cell r="I462">
            <v>49.956504241509847</v>
          </cell>
          <cell r="J462">
            <v>47.773950815133425</v>
          </cell>
        </row>
        <row r="463">
          <cell r="B463" t="str">
            <v>EHYD-RUN00</v>
          </cell>
          <cell r="C463" t="str">
            <v>VAR_cap</v>
          </cell>
          <cell r="D463" t="str">
            <v>-</v>
          </cell>
          <cell r="E463">
            <v>3.86687</v>
          </cell>
          <cell r="F463">
            <v>3.9240852000672399</v>
          </cell>
          <cell r="G463">
            <v>3.9610124303882599</v>
          </cell>
          <cell r="H463">
            <v>3.9647700000000001</v>
          </cell>
          <cell r="I463">
            <v>3.9647700000000001</v>
          </cell>
          <cell r="J463">
            <v>3.9647700000000001</v>
          </cell>
        </row>
        <row r="464">
          <cell r="B464" t="str">
            <v>HPLELCHP</v>
          </cell>
          <cell r="C464" t="str">
            <v>VAR_fout</v>
          </cell>
          <cell r="D464" t="str">
            <v>LTH</v>
          </cell>
          <cell r="F464">
            <v>2.855087572532812</v>
          </cell>
          <cell r="G464">
            <v>2.9416057348654072</v>
          </cell>
          <cell r="H464">
            <v>10.946461772409695</v>
          </cell>
          <cell r="I464">
            <v>12.091722023648289</v>
          </cell>
          <cell r="J464">
            <v>13.356778055881321</v>
          </cell>
        </row>
        <row r="465">
          <cell r="B465" t="str">
            <v>HPLELCHP</v>
          </cell>
          <cell r="C465" t="str">
            <v>VAR_fin</v>
          </cell>
          <cell r="D465" t="str">
            <v>ELC35</v>
          </cell>
          <cell r="F465">
            <v>0.9516958575109371</v>
          </cell>
          <cell r="G465">
            <v>0.98053524495513555</v>
          </cell>
          <cell r="H465">
            <v>3.6488205908032274</v>
          </cell>
          <cell r="I465">
            <v>4.0305740078827608</v>
          </cell>
          <cell r="J465">
            <v>4.452259351960441</v>
          </cell>
        </row>
        <row r="466">
          <cell r="B466" t="str">
            <v>HPLELCHP</v>
          </cell>
          <cell r="C466" t="str">
            <v>VAR_fin</v>
          </cell>
          <cell r="D466" t="str">
            <v>WWTPCC</v>
          </cell>
          <cell r="F466">
            <v>5.7101751450656302</v>
          </cell>
          <cell r="G466">
            <v>5.8832114697308198</v>
          </cell>
          <cell r="H466">
            <v>21.8929235448194</v>
          </cell>
          <cell r="I466">
            <v>24.1834440472966</v>
          </cell>
          <cell r="J466">
            <v>26.713556111762699</v>
          </cell>
        </row>
        <row r="467">
          <cell r="B467" t="str">
            <v>HPLELCHP</v>
          </cell>
          <cell r="C467" t="str">
            <v>VAR_ncap</v>
          </cell>
          <cell r="D467" t="str">
            <v>-</v>
          </cell>
          <cell r="F467">
            <v>0.17600032885529701</v>
          </cell>
          <cell r="G467">
            <v>5.3406654808381502E-3</v>
          </cell>
          <cell r="H467">
            <v>0.49279193000294902</v>
          </cell>
          <cell r="I467">
            <v>0.12677233247688099</v>
          </cell>
          <cell r="J467">
            <v>0.54199408025836604</v>
          </cell>
        </row>
        <row r="468">
          <cell r="B468" t="str">
            <v>HPLELCHP</v>
          </cell>
          <cell r="C468" t="str">
            <v>VAR_cap</v>
          </cell>
          <cell r="D468" t="str">
            <v>-</v>
          </cell>
          <cell r="F468">
            <v>0.17600032885529701</v>
          </cell>
          <cell r="G468">
            <v>0.181340031410609</v>
          </cell>
          <cell r="H468">
            <v>0.67413016718115082</v>
          </cell>
          <cell r="I468">
            <v>0.75065952297123351</v>
          </cell>
          <cell r="J468">
            <v>0.82440459691938694</v>
          </cell>
        </row>
        <row r="469">
          <cell r="B469" t="str">
            <v>D-ITOT_LTH</v>
          </cell>
          <cell r="C469" t="str">
            <v>VAR_fout</v>
          </cell>
          <cell r="D469" t="str">
            <v>ITOT_LTH_DH</v>
          </cell>
          <cell r="E469">
            <v>7.1200281690851011</v>
          </cell>
          <cell r="F469">
            <v>7.6289125416766659</v>
          </cell>
          <cell r="G469">
            <v>7.3518815578640213</v>
          </cell>
          <cell r="H469">
            <v>7.7153628548535256</v>
          </cell>
          <cell r="I469">
            <v>6.6684083837046586</v>
          </cell>
          <cell r="J469">
            <v>8.7146622016317004</v>
          </cell>
        </row>
        <row r="470">
          <cell r="B470" t="str">
            <v>D-ITOT_LTH</v>
          </cell>
          <cell r="C470" t="str">
            <v>VAR_fin</v>
          </cell>
          <cell r="D470" t="str">
            <v>LTH</v>
          </cell>
          <cell r="E470">
            <v>7.7403663138819141</v>
          </cell>
          <cell r="F470">
            <v>8.291407989055946</v>
          </cell>
          <cell r="G470">
            <v>7.9871709222167295</v>
          </cell>
          <cell r="H470">
            <v>8.3765598104188541</v>
          </cell>
          <cell r="I470">
            <v>7.2303914555393289</v>
          </cell>
          <cell r="J470">
            <v>9.4367230579315713</v>
          </cell>
        </row>
        <row r="471">
          <cell r="B471" t="str">
            <v>D-ITOT_LTH</v>
          </cell>
          <cell r="C471" t="str">
            <v>VAR_ncap</v>
          </cell>
          <cell r="D471" t="str">
            <v>-</v>
          </cell>
          <cell r="E471">
            <v>0.79547305018450698</v>
          </cell>
          <cell r="F471">
            <v>1.6047623430692799E-7</v>
          </cell>
          <cell r="G471">
            <v>1.82110583615153E-7</v>
          </cell>
          <cell r="H471">
            <v>2.0771121899674199E-7</v>
          </cell>
          <cell r="I471">
            <v>3.8557133704351098E-7</v>
          </cell>
          <cell r="J471">
            <v>4.2105516835014201E-7</v>
          </cell>
        </row>
        <row r="472">
          <cell r="B472" t="str">
            <v>D-ITOT_LTH</v>
          </cell>
          <cell r="C472" t="str">
            <v>VAR_cap</v>
          </cell>
          <cell r="D472" t="str">
            <v>-</v>
          </cell>
          <cell r="E472">
            <v>0.79547305018450698</v>
          </cell>
          <cell r="F472">
            <v>0.79547321066074095</v>
          </cell>
          <cell r="G472">
            <v>0.79547339277132401</v>
          </cell>
          <cell r="H472">
            <v>0.79547360048254301</v>
          </cell>
          <cell r="I472">
            <v>0.79547428822560995</v>
          </cell>
          <cell r="J472">
            <v>0.79547470928077801</v>
          </cell>
        </row>
        <row r="473">
          <cell r="B473" t="str">
            <v>D-IH2</v>
          </cell>
          <cell r="C473" t="str">
            <v>VAR_fout</v>
          </cell>
          <cell r="D473" t="str">
            <v>IH2</v>
          </cell>
          <cell r="I473">
            <v>3.2057597020935158</v>
          </cell>
          <cell r="J473">
            <v>13.502575578009051</v>
          </cell>
        </row>
        <row r="474">
          <cell r="B474" t="str">
            <v>D-IH2</v>
          </cell>
          <cell r="C474" t="str">
            <v>VAR_fin</v>
          </cell>
          <cell r="D474" t="str">
            <v>H2</v>
          </cell>
          <cell r="I474">
            <v>3.2301824233976664</v>
          </cell>
          <cell r="J474">
            <v>13.605443438009447</v>
          </cell>
        </row>
        <row r="475">
          <cell r="B475" t="str">
            <v>D-IH2</v>
          </cell>
          <cell r="C475" t="str">
            <v>VAR_ncap</v>
          </cell>
          <cell r="D475" t="str">
            <v>-</v>
          </cell>
          <cell r="H475">
            <v>1.9238777709240498E-6</v>
          </cell>
          <cell r="I475">
            <v>0.44927296846460502</v>
          </cell>
          <cell r="J475">
            <v>0.56671942497543004</v>
          </cell>
        </row>
        <row r="476">
          <cell r="B476" t="str">
            <v>D-IH2</v>
          </cell>
          <cell r="C476" t="str">
            <v>VAR_cap</v>
          </cell>
          <cell r="D476" t="str">
            <v>-</v>
          </cell>
          <cell r="H476">
            <v>1.9238777709240498E-6</v>
          </cell>
          <cell r="I476">
            <v>0.53857807510361599</v>
          </cell>
          <cell r="J476">
            <v>1.1052975000790499</v>
          </cell>
        </row>
        <row r="477">
          <cell r="B477" t="str">
            <v>RHEM-ESOLPV</v>
          </cell>
          <cell r="C477" t="str">
            <v>VAR_fout</v>
          </cell>
          <cell r="D477" t="str">
            <v>RHEM_SOL_ELC</v>
          </cell>
          <cell r="E477">
            <v>0.86248322578584768</v>
          </cell>
          <cell r="F477">
            <v>1.2875839973337093</v>
          </cell>
          <cell r="G477">
            <v>1.7715491037184941</v>
          </cell>
          <cell r="H477">
            <v>5.2693330836747387</v>
          </cell>
          <cell r="I477">
            <v>5.820801460145697</v>
          </cell>
          <cell r="J477">
            <v>6.4297984203848433</v>
          </cell>
        </row>
        <row r="478">
          <cell r="B478" t="str">
            <v>RHEM-ESOLPV</v>
          </cell>
          <cell r="C478" t="str">
            <v>VAR_fin</v>
          </cell>
          <cell r="D478" t="str">
            <v>SOL</v>
          </cell>
          <cell r="E478">
            <v>0.86248322578584768</v>
          </cell>
          <cell r="F478">
            <v>1.2875839973337093</v>
          </cell>
          <cell r="G478">
            <v>1.7715491037184941</v>
          </cell>
          <cell r="H478">
            <v>5.2693330836747387</v>
          </cell>
          <cell r="I478">
            <v>5.820801460145697</v>
          </cell>
          <cell r="J478">
            <v>6.4297984203848433</v>
          </cell>
        </row>
        <row r="479">
          <cell r="B479" t="str">
            <v>RHEM-ESOLPV</v>
          </cell>
          <cell r="C479" t="str">
            <v>VAR_fin</v>
          </cell>
          <cell r="D479" t="str">
            <v>SOLPVC</v>
          </cell>
          <cell r="E479">
            <v>0.86248322578584802</v>
          </cell>
          <cell r="F479">
            <v>1.28758399733371</v>
          </cell>
          <cell r="G479">
            <v>1.7715491037184901</v>
          </cell>
          <cell r="H479">
            <v>5.2693330836747396</v>
          </cell>
          <cell r="I479">
            <v>5.8208014601456997</v>
          </cell>
          <cell r="J479">
            <v>6.4297984203848397</v>
          </cell>
        </row>
        <row r="480">
          <cell r="B480" t="str">
            <v>RHEM-ESOLPV</v>
          </cell>
          <cell r="C480" t="str">
            <v>VAR_ncap</v>
          </cell>
          <cell r="D480" t="str">
            <v>-</v>
          </cell>
          <cell r="F480">
            <v>4.8546255726248404E-7</v>
          </cell>
          <cell r="G480">
            <v>8.2082876768773905E-2</v>
          </cell>
          <cell r="H480">
            <v>0.96548915761959198</v>
          </cell>
          <cell r="I480">
            <v>0.306452170785464</v>
          </cell>
          <cell r="J480">
            <v>1.1637663566415399</v>
          </cell>
        </row>
        <row r="481">
          <cell r="B481" t="str">
            <v>RHEM-ESOLPV</v>
          </cell>
          <cell r="C481" t="str">
            <v>VAR_cap</v>
          </cell>
          <cell r="D481" t="str">
            <v>-</v>
          </cell>
          <cell r="E481">
            <v>0.27424799999999999</v>
          </cell>
          <cell r="F481">
            <v>0.43894580293897029</v>
          </cell>
          <cell r="G481">
            <v>0.56523136223133108</v>
          </cell>
          <cell r="H481">
            <v>1.518995732110402</v>
          </cell>
          <cell r="I481">
            <v>1.677970164623082</v>
          </cell>
          <cell r="J481">
            <v>1.85352595078493</v>
          </cell>
        </row>
        <row r="482">
          <cell r="B482" t="str">
            <v>HPLNUC</v>
          </cell>
          <cell r="C482" t="str">
            <v>VAR_fout</v>
          </cell>
          <cell r="D482" t="str">
            <v>LTH</v>
          </cell>
          <cell r="E482">
            <v>1.4500750022345674</v>
          </cell>
          <cell r="F482">
            <v>3.8015512173085249</v>
          </cell>
          <cell r="G482">
            <v>3.7980214619961394</v>
          </cell>
          <cell r="H482">
            <v>1.0687035992549894</v>
          </cell>
        </row>
        <row r="483">
          <cell r="B483" t="str">
            <v>HPLNUC</v>
          </cell>
          <cell r="C483" t="str">
            <v>VAR_fin</v>
          </cell>
          <cell r="D483" t="str">
            <v>URN</v>
          </cell>
          <cell r="E483">
            <v>1.4500750022345674</v>
          </cell>
          <cell r="F483">
            <v>3.8015512173085249</v>
          </cell>
          <cell r="G483">
            <v>3.7980214619961394</v>
          </cell>
          <cell r="H483">
            <v>1.0687035992549894</v>
          </cell>
        </row>
        <row r="484">
          <cell r="B484" t="str">
            <v>HPLNUC</v>
          </cell>
          <cell r="C484" t="str">
            <v>VAR_cap</v>
          </cell>
          <cell r="D484" t="str">
            <v>-</v>
          </cell>
          <cell r="E484">
            <v>0.120558721922211</v>
          </cell>
          <cell r="F484">
            <v>0.120558721922211</v>
          </cell>
          <cell r="G484">
            <v>0.120558721922211</v>
          </cell>
          <cell r="H484">
            <v>0.11197225056919</v>
          </cell>
          <cell r="I484">
            <v>1.56851844506808E-2</v>
          </cell>
        </row>
        <row r="485">
          <cell r="B485" t="str">
            <v>ITOT-CHPWODCCS</v>
          </cell>
          <cell r="C485" t="str">
            <v>VAR_fout</v>
          </cell>
          <cell r="D485" t="str">
            <v>CO2_O</v>
          </cell>
          <cell r="I485">
            <v>561.61352754328641</v>
          </cell>
          <cell r="J485">
            <v>1178.3881778281368</v>
          </cell>
        </row>
        <row r="486">
          <cell r="B486" t="str">
            <v>ITOT-CHPWODCCS</v>
          </cell>
          <cell r="C486" t="str">
            <v>VAR_fout</v>
          </cell>
          <cell r="D486" t="str">
            <v>CO2</v>
          </cell>
          <cell r="I486">
            <v>-561.61352754328595</v>
          </cell>
          <cell r="J486">
            <v>-1178.38817782814</v>
          </cell>
        </row>
        <row r="487">
          <cell r="B487" t="str">
            <v>ITOT-CHPWODCCS</v>
          </cell>
          <cell r="C487" t="str">
            <v>VAR_fout</v>
          </cell>
          <cell r="D487" t="str">
            <v>ITOT_LTH_CHP</v>
          </cell>
          <cell r="I487">
            <v>3.9980544461505003</v>
          </cell>
          <cell r="J487">
            <v>8.7354382012071774</v>
          </cell>
        </row>
        <row r="488">
          <cell r="B488" t="str">
            <v>ITOT-CHPWODCCS</v>
          </cell>
          <cell r="C488" t="str">
            <v>VAR_fout</v>
          </cell>
          <cell r="D488" t="str">
            <v>ITOT_KEV_WOD_ELC_CHP</v>
          </cell>
          <cell r="I488">
            <v>1.8899893745438678</v>
          </cell>
          <cell r="J488">
            <v>4.1294798769342966</v>
          </cell>
        </row>
        <row r="489">
          <cell r="B489" t="str">
            <v>ITOT-CHPWODCCS</v>
          </cell>
          <cell r="C489" t="str">
            <v>VAR_fin</v>
          </cell>
          <cell r="D489" t="str">
            <v>IWOD</v>
          </cell>
          <cell r="I489">
            <v>5.6371115577458522</v>
          </cell>
          <cell r="J489">
            <v>11.856917013046091</v>
          </cell>
        </row>
        <row r="490">
          <cell r="B490" t="str">
            <v>ITOT-CHPWODCCS</v>
          </cell>
          <cell r="C490" t="str">
            <v>VAR_ncap</v>
          </cell>
          <cell r="D490" t="str">
            <v>-</v>
          </cell>
          <cell r="I490">
            <v>9.3917497592637997E-2</v>
          </cell>
          <cell r="J490">
            <v>0.103088585852275</v>
          </cell>
        </row>
        <row r="491">
          <cell r="B491" t="str">
            <v>ITOT-CHPWODCCS</v>
          </cell>
          <cell r="C491" t="str">
            <v>VAR_cap</v>
          </cell>
          <cell r="D491" t="str">
            <v>-</v>
          </cell>
          <cell r="I491">
            <v>9.3917497592637997E-2</v>
          </cell>
          <cell r="J491">
            <v>0.17124766233377101</v>
          </cell>
        </row>
        <row r="492">
          <cell r="B492" t="str">
            <v>SUP_WODBIO</v>
          </cell>
          <cell r="C492" t="str">
            <v>VAR_fout</v>
          </cell>
          <cell r="D492" t="str">
            <v>ELC35</v>
          </cell>
          <cell r="F492">
            <v>4.156773245365398E-5</v>
          </cell>
          <cell r="G492">
            <v>1.8093096284303035E-5</v>
          </cell>
          <cell r="H492">
            <v>3.2165722457135054E-4</v>
          </cell>
          <cell r="I492">
            <v>3.8975212464839634E-2</v>
          </cell>
          <cell r="J492">
            <v>9.5731352387107635E-5</v>
          </cell>
        </row>
        <row r="493">
          <cell r="B493" t="str">
            <v>SUP_WODBIO</v>
          </cell>
          <cell r="C493" t="str">
            <v>VAR_fout</v>
          </cell>
          <cell r="D493" t="str">
            <v>BIO</v>
          </cell>
          <cell r="F493">
            <v>1.0391933113413465E-3</v>
          </cell>
          <cell r="G493">
            <v>4.5232740710757501E-4</v>
          </cell>
          <cell r="H493">
            <v>8.0414306142837493E-3</v>
          </cell>
          <cell r="I493">
            <v>0.97438031162098937</v>
          </cell>
          <cell r="J493">
            <v>2.3932838096776864E-3</v>
          </cell>
        </row>
        <row r="494">
          <cell r="B494" t="str">
            <v>SUP_WODBIO</v>
          </cell>
          <cell r="C494" t="str">
            <v>VAR_fout</v>
          </cell>
          <cell r="D494" t="str">
            <v>LTH</v>
          </cell>
          <cell r="F494">
            <v>1.2470319736096157E-4</v>
          </cell>
          <cell r="G494">
            <v>5.4279288852909012E-5</v>
          </cell>
          <cell r="H494">
            <v>9.6497167371405092E-4</v>
          </cell>
          <cell r="I494">
            <v>0.11692563739451876</v>
          </cell>
          <cell r="J494">
            <v>2.8719405716132239E-4</v>
          </cell>
        </row>
        <row r="495">
          <cell r="B495" t="str">
            <v>SUP_WODBIO</v>
          </cell>
          <cell r="C495" t="str">
            <v>VAR_fin</v>
          </cell>
          <cell r="D495" t="str">
            <v>CWOD</v>
          </cell>
          <cell r="F495">
            <v>1.4029109703108185E-3</v>
          </cell>
          <cell r="G495">
            <v>6.1064199959522678E-4</v>
          </cell>
          <cell r="H495">
            <v>1.0855931329283064E-2</v>
          </cell>
          <cell r="I495">
            <v>1.3154134206883374</v>
          </cell>
          <cell r="J495">
            <v>3.2309331430648786E-3</v>
          </cell>
        </row>
        <row r="496">
          <cell r="B496" t="str">
            <v>SUP_WODBIO</v>
          </cell>
          <cell r="C496" t="str">
            <v>VAR_ncap</v>
          </cell>
          <cell r="D496" t="str">
            <v>-</v>
          </cell>
          <cell r="E496">
            <v>1.7900586657051301E-6</v>
          </cell>
          <cell r="F496">
            <v>9.9307416100386694E-5</v>
          </cell>
          <cell r="G496">
            <v>5.05431960478138E-5</v>
          </cell>
          <cell r="H496">
            <v>2.04852829901648E-4</v>
          </cell>
          <cell r="I496">
            <v>2.65512927190411E-6</v>
          </cell>
          <cell r="J496">
            <v>4.3414501893650899E-7</v>
          </cell>
        </row>
        <row r="497">
          <cell r="B497" t="str">
            <v>SUP_WODBIO</v>
          </cell>
          <cell r="C497" t="str">
            <v>VAR_cap</v>
          </cell>
          <cell r="D497" t="str">
            <v>-</v>
          </cell>
          <cell r="E497">
            <v>1.7900586657051301E-6</v>
          </cell>
          <cell r="F497">
            <v>1.0088287897644114E-4</v>
          </cell>
          <cell r="G497">
            <v>1.5068245115083906E-4</v>
          </cell>
          <cell r="H497">
            <v>3.5505731549602865E-4</v>
          </cell>
          <cell r="I497">
            <v>3.9244630771312683E-2</v>
          </cell>
          <cell r="J497">
            <v>1.756589925685989E-4</v>
          </cell>
        </row>
        <row r="498">
          <cell r="B498" t="str">
            <v>D-RLFO</v>
          </cell>
          <cell r="C498" t="str">
            <v>VAR_fout</v>
          </cell>
          <cell r="D498" t="str">
            <v>CO2</v>
          </cell>
          <cell r="E498">
            <v>4514.4926719002497</v>
          </cell>
          <cell r="F498">
            <v>3846.5357873173102</v>
          </cell>
          <cell r="G498">
            <v>3621.76283956519</v>
          </cell>
          <cell r="H498">
            <v>1763.87940967084</v>
          </cell>
          <cell r="I498">
            <v>424.44931521743803</v>
          </cell>
          <cell r="J498">
            <v>1.52171408627514E-3</v>
          </cell>
        </row>
        <row r="499">
          <cell r="B499" t="str">
            <v>D-RLFO</v>
          </cell>
          <cell r="C499" t="str">
            <v>VAR_fout</v>
          </cell>
          <cell r="D499" t="str">
            <v>RLFO</v>
          </cell>
          <cell r="E499">
            <v>60.231959065270878</v>
          </cell>
          <cell r="F499">
            <v>51.320137814571943</v>
          </cell>
          <cell r="G499">
            <v>48.321466439055861</v>
          </cell>
          <cell r="H499">
            <v>23.534918690563643</v>
          </cell>
          <cell r="I499">
            <v>5.6653650586620712</v>
          </cell>
          <cell r="J499">
            <v>0.48487863026767175</v>
          </cell>
        </row>
        <row r="500">
          <cell r="B500" t="str">
            <v>D-RLFO</v>
          </cell>
          <cell r="C500" t="str">
            <v>VAR_fin</v>
          </cell>
          <cell r="D500" t="str">
            <v>LFO</v>
          </cell>
          <cell r="E500">
            <v>61.254988763911079</v>
          </cell>
          <cell r="F500">
            <v>52.191801727507574</v>
          </cell>
          <cell r="G500">
            <v>49.14196525868639</v>
          </cell>
          <cell r="H500">
            <v>23.933234866632809</v>
          </cell>
          <cell r="I500">
            <v>5.7591494602094713</v>
          </cell>
          <cell r="J500">
            <v>2.0647409583109037E-5</v>
          </cell>
        </row>
        <row r="501">
          <cell r="B501" t="str">
            <v>D-RLFO</v>
          </cell>
          <cell r="C501" t="str">
            <v>VAR_fin</v>
          </cell>
          <cell r="D501" t="str">
            <v>BDS</v>
          </cell>
          <cell r="G501">
            <v>2.3307827803430923E-4</v>
          </cell>
          <cell r="H501">
            <v>1.4206396629816186E-3</v>
          </cell>
          <cell r="I501">
            <v>2.4417444278971774E-3</v>
          </cell>
          <cell r="J501">
            <v>0.49309388904467211</v>
          </cell>
        </row>
        <row r="502">
          <cell r="B502" t="str">
            <v>G-INTC-EXP00-IT</v>
          </cell>
          <cell r="C502" t="str">
            <v>VAR_fout</v>
          </cell>
          <cell r="D502" t="str">
            <v>ELC_E-IT</v>
          </cell>
          <cell r="E502">
            <v>71.69412878664167</v>
          </cell>
          <cell r="F502">
            <v>35.095587479656103</v>
          </cell>
          <cell r="G502">
            <v>54.88295954320126</v>
          </cell>
          <cell r="H502">
            <v>52.718539041882032</v>
          </cell>
          <cell r="I502">
            <v>24.840023444843528</v>
          </cell>
          <cell r="J502">
            <v>20.238707092030044</v>
          </cell>
        </row>
        <row r="503">
          <cell r="B503" t="str">
            <v>G-INTC-EXP00-IT</v>
          </cell>
          <cell r="C503" t="str">
            <v>VAR_fin</v>
          </cell>
          <cell r="D503" t="str">
            <v>ELC</v>
          </cell>
          <cell r="E503">
            <v>71.69412878664167</v>
          </cell>
          <cell r="F503">
            <v>35.095587479656103</v>
          </cell>
          <cell r="G503">
            <v>54.88295954320126</v>
          </cell>
          <cell r="H503">
            <v>52.718539041882032</v>
          </cell>
          <cell r="I503">
            <v>24.840023444843528</v>
          </cell>
          <cell r="J503">
            <v>20.238707092030044</v>
          </cell>
        </row>
        <row r="504">
          <cell r="B504" t="str">
            <v>G-INTC-EXP00-IT</v>
          </cell>
          <cell r="C504" t="str">
            <v>VAR_ncap</v>
          </cell>
          <cell r="D504" t="str">
            <v>-</v>
          </cell>
          <cell r="E504">
            <v>6.8157296287782701E-6</v>
          </cell>
          <cell r="F504">
            <v>7.6848869071898099E-6</v>
          </cell>
          <cell r="G504">
            <v>1.25633330586541E-5</v>
          </cell>
          <cell r="H504">
            <v>7.6595617815505194E-6</v>
          </cell>
          <cell r="I504">
            <v>9.7162747976553896E-6</v>
          </cell>
          <cell r="J504">
            <v>1.40903376557192E-5</v>
          </cell>
        </row>
        <row r="505">
          <cell r="B505" t="str">
            <v>G-INTC-EXP00-IT</v>
          </cell>
          <cell r="C505" t="str">
            <v>VAR_cap</v>
          </cell>
          <cell r="D505" t="str">
            <v>-</v>
          </cell>
          <cell r="E505">
            <v>3.7499932760064278</v>
          </cell>
          <cell r="F505">
            <v>3.7499883279855886</v>
          </cell>
          <cell r="G505">
            <v>3.7499863664314912</v>
          </cell>
          <cell r="H505">
            <v>3.7499913326491945</v>
          </cell>
          <cell r="I505">
            <v>2.4000002562874361</v>
          </cell>
          <cell r="J505">
            <v>2.4000002302395491</v>
          </cell>
        </row>
        <row r="506">
          <cell r="B506" t="str">
            <v>EWOD-CCS</v>
          </cell>
          <cell r="C506" t="str">
            <v>VAR_fout</v>
          </cell>
          <cell r="D506" t="str">
            <v>CO2_O</v>
          </cell>
          <cell r="I506">
            <v>0.42488956825792173</v>
          </cell>
          <cell r="J506">
            <v>196.83304761788236</v>
          </cell>
        </row>
        <row r="507">
          <cell r="B507" t="str">
            <v>EWOD-CCS</v>
          </cell>
          <cell r="C507" t="str">
            <v>VAR_fout</v>
          </cell>
          <cell r="D507" t="str">
            <v>CO2</v>
          </cell>
          <cell r="I507">
            <v>-0.42488956825792101</v>
          </cell>
          <cell r="J507">
            <v>-196.83304761788301</v>
          </cell>
        </row>
        <row r="508">
          <cell r="B508" t="str">
            <v>EWOD-CCS</v>
          </cell>
          <cell r="C508" t="str">
            <v>VAR_fout</v>
          </cell>
          <cell r="D508" t="str">
            <v>ELC13</v>
          </cell>
          <cell r="I508">
            <v>9.4170115951344095E-4</v>
          </cell>
          <cell r="J508">
            <v>0.43624961171041532</v>
          </cell>
        </row>
        <row r="509">
          <cell r="B509" t="str">
            <v>EWOD-CCS</v>
          </cell>
          <cell r="C509" t="str">
            <v>VAR_fin</v>
          </cell>
          <cell r="D509" t="str">
            <v>EWOD</v>
          </cell>
          <cell r="I509">
            <v>5.181280226082427E-3</v>
          </cell>
          <cell r="J509">
            <v>1.6508913303387851</v>
          </cell>
        </row>
        <row r="510">
          <cell r="B510" t="str">
            <v>EWOD-CCS</v>
          </cell>
          <cell r="C510" t="str">
            <v>VAR_ncap</v>
          </cell>
          <cell r="D510" t="str">
            <v>-</v>
          </cell>
          <cell r="I510">
            <v>3.5293368091277098E-4</v>
          </cell>
          <cell r="J510">
            <v>2.8952781218123901E-2</v>
          </cell>
        </row>
        <row r="511">
          <cell r="B511" t="str">
            <v>EWOD-CCS</v>
          </cell>
          <cell r="C511" t="str">
            <v>VAR_cap</v>
          </cell>
          <cell r="D511" t="str">
            <v>-</v>
          </cell>
          <cell r="I511">
            <v>1.6993368648148501E-4</v>
          </cell>
          <cell r="J511">
            <v>2.1776818533828814E-2</v>
          </cell>
        </row>
        <row r="512">
          <cell r="B512" t="str">
            <v>EOIL-ENG</v>
          </cell>
          <cell r="C512" t="str">
            <v>VAR_fout</v>
          </cell>
          <cell r="D512" t="str">
            <v>ELC35</v>
          </cell>
          <cell r="E512">
            <v>3.9609973401415081E-2</v>
          </cell>
          <cell r="F512">
            <v>1.0021164995322855E-3</v>
          </cell>
          <cell r="G512">
            <v>1.4686372246993267E-2</v>
          </cell>
          <cell r="H512">
            <v>9.2258791817763526E-4</v>
          </cell>
          <cell r="I512">
            <v>3.8497712293900324E-2</v>
          </cell>
          <cell r="J512">
            <v>9.2769095874506094E-5</v>
          </cell>
        </row>
        <row r="513">
          <cell r="B513" t="str">
            <v>EOIL-ENG</v>
          </cell>
          <cell r="C513" t="str">
            <v>VAR_fout</v>
          </cell>
          <cell r="D513" t="str">
            <v>CO2_E</v>
          </cell>
          <cell r="E513">
            <v>10.296178973077399</v>
          </cell>
          <cell r="F513">
            <v>0.497725600164931</v>
          </cell>
          <cell r="G513">
            <v>3.6637839241882002</v>
          </cell>
          <cell r="H513">
            <v>0.23990863783840199</v>
          </cell>
          <cell r="I513">
            <v>8.84069018019132</v>
          </cell>
          <cell r="J513">
            <v>2.3022239767918E-2</v>
          </cell>
        </row>
        <row r="514">
          <cell r="B514" t="str">
            <v>EOIL-ENG</v>
          </cell>
          <cell r="C514" t="str">
            <v>VAR_fin</v>
          </cell>
          <cell r="D514" t="str">
            <v>ELFO</v>
          </cell>
          <cell r="E514">
            <v>0.13970392093727879</v>
          </cell>
          <cell r="F514">
            <v>6.7534002736082772E-3</v>
          </cell>
          <cell r="G514">
            <v>4.9712129229147847E-2</v>
          </cell>
          <cell r="H514">
            <v>3.2552053980787286E-3</v>
          </cell>
          <cell r="I514">
            <v>0.11995509064031648</v>
          </cell>
          <cell r="J514">
            <v>3.1237774447649962E-4</v>
          </cell>
        </row>
        <row r="515">
          <cell r="B515" t="str">
            <v>EOIL-ENG</v>
          </cell>
          <cell r="C515" t="str">
            <v>VAR_ncap</v>
          </cell>
          <cell r="D515" t="str">
            <v>-</v>
          </cell>
          <cell r="F515">
            <v>2.5612712594952401E-5</v>
          </cell>
          <cell r="G515">
            <v>5.87956230469868E-3</v>
          </cell>
          <cell r="H515">
            <v>5.5060794161154197E-2</v>
          </cell>
          <cell r="I515">
            <v>6.7536007184364196E-6</v>
          </cell>
          <cell r="J515">
            <v>6.88111828996671E-6</v>
          </cell>
        </row>
        <row r="516">
          <cell r="B516" t="str">
            <v>EOIL-ENG</v>
          </cell>
          <cell r="C516" t="str">
            <v>VAR_cap</v>
          </cell>
          <cell r="D516" t="str">
            <v>-</v>
          </cell>
          <cell r="E516">
            <v>2.6530308010004701E-2</v>
          </cell>
          <cell r="F516">
            <v>2.3422942391097754E-2</v>
          </cell>
          <cell r="G516">
            <v>1.8496389995357538E-2</v>
          </cell>
          <cell r="H516">
            <v>6.7959920014044023E-2</v>
          </cell>
          <cell r="I516">
            <v>6.7894992271903085E-2</v>
          </cell>
          <cell r="J516">
            <v>2.3673847399887996E-3</v>
          </cell>
        </row>
        <row r="517">
          <cell r="B517" t="str">
            <v>D-SWOD</v>
          </cell>
          <cell r="C517" t="str">
            <v>VAR_fout</v>
          </cell>
          <cell r="D517" t="str">
            <v>SWOD</v>
          </cell>
          <cell r="E517">
            <v>8.5743836214710019</v>
          </cell>
          <cell r="F517">
            <v>7.0159668003863764</v>
          </cell>
          <cell r="G517">
            <v>10.535524397046791</v>
          </cell>
          <cell r="H517">
            <v>10.015080036030641</v>
          </cell>
          <cell r="I517">
            <v>7.4660181532576333</v>
          </cell>
          <cell r="J517">
            <v>4.9937886219113361</v>
          </cell>
        </row>
        <row r="518">
          <cell r="B518" t="str">
            <v>D-SWOD</v>
          </cell>
          <cell r="C518" t="str">
            <v>VAR_fin</v>
          </cell>
          <cell r="D518" t="str">
            <v>WOD</v>
          </cell>
          <cell r="E518">
            <v>8.5743836214710019</v>
          </cell>
          <cell r="F518">
            <v>7.0159668003863764</v>
          </cell>
          <cell r="G518">
            <v>10.535524397046791</v>
          </cell>
          <cell r="H518">
            <v>10.015080036030641</v>
          </cell>
          <cell r="I518">
            <v>7.4660181532576333</v>
          </cell>
          <cell r="J518">
            <v>4.9937886219113361</v>
          </cell>
        </row>
        <row r="519">
          <cell r="B519" t="str">
            <v>SCOM-CHPWOD</v>
          </cell>
          <cell r="C519" t="str">
            <v>VAR_fout</v>
          </cell>
          <cell r="D519" t="str">
            <v>SCOM_KEV_WOD_ELC_CHP</v>
          </cell>
          <cell r="H519">
            <v>1.0964030320830176E-3</v>
          </cell>
          <cell r="I519">
            <v>1.9962304221375592E-3</v>
          </cell>
          <cell r="J519">
            <v>1.6067632790507575E-3</v>
          </cell>
        </row>
        <row r="520">
          <cell r="B520" t="str">
            <v>SCOM-CHPWOD</v>
          </cell>
          <cell r="C520" t="str">
            <v>VAR_fout</v>
          </cell>
          <cell r="D520" t="str">
            <v>SCOM_LTH_CHPWOD</v>
          </cell>
          <cell r="H520">
            <v>1.7522366974657077E-3</v>
          </cell>
          <cell r="I520">
            <v>3.0527989463652637E-3</v>
          </cell>
          <cell r="J520">
            <v>2.3596862195419052E-3</v>
          </cell>
        </row>
        <row r="521">
          <cell r="B521" t="str">
            <v>SCOM-CHPWOD</v>
          </cell>
          <cell r="C521" t="str">
            <v>VAR_fin</v>
          </cell>
          <cell r="D521" t="str">
            <v>SWOD</v>
          </cell>
          <cell r="H521">
            <v>4.4241763250874432E-3</v>
          </cell>
          <cell r="I521">
            <v>7.1911323017805262E-3</v>
          </cell>
          <cell r="J521">
            <v>5.1130469719970484E-3</v>
          </cell>
        </row>
        <row r="522">
          <cell r="B522" t="str">
            <v>SCOM-CHPWOD</v>
          </cell>
          <cell r="C522" t="str">
            <v>VAR_ncap</v>
          </cell>
          <cell r="D522" t="str">
            <v>-</v>
          </cell>
          <cell r="H522">
            <v>1.6777707423138E-4</v>
          </cell>
          <cell r="I522">
            <v>1.2306358646689699E-4</v>
          </cell>
          <cell r="J522">
            <v>7.2916533334975594E-5</v>
          </cell>
        </row>
        <row r="523">
          <cell r="B523" t="str">
            <v>SCOM-CHPWOD</v>
          </cell>
          <cell r="C523" t="str">
            <v>VAR_cap</v>
          </cell>
          <cell r="D523" t="str">
            <v>-</v>
          </cell>
          <cell r="H523">
            <v>1.6777707423138E-4</v>
          </cell>
          <cell r="I523">
            <v>2.4893151310567143E-4</v>
          </cell>
          <cell r="J523">
            <v>1.6687408792364565E-4</v>
          </cell>
        </row>
        <row r="524">
          <cell r="B524" t="str">
            <v>ENUC_BMGL</v>
          </cell>
          <cell r="C524" t="str">
            <v>VAR_fout</v>
          </cell>
          <cell r="D524" t="str">
            <v>ELC</v>
          </cell>
          <cell r="E524">
            <v>32.820804431864751</v>
          </cell>
          <cell r="F524">
            <v>32.820785783585208</v>
          </cell>
          <cell r="G524">
            <v>31.557867544845806</v>
          </cell>
          <cell r="H524">
            <v>32.820774081256943</v>
          </cell>
          <cell r="I524">
            <v>32.820805034629792</v>
          </cell>
        </row>
        <row r="525">
          <cell r="B525" t="str">
            <v>ENUC_BMGL</v>
          </cell>
          <cell r="C525" t="str">
            <v>VAR_fin</v>
          </cell>
          <cell r="D525" t="str">
            <v>URN</v>
          </cell>
          <cell r="E525">
            <v>98.94551276749138</v>
          </cell>
          <cell r="F525">
            <v>98.94545654816288</v>
          </cell>
          <cell r="G525">
            <v>95.138112551616501</v>
          </cell>
          <cell r="H525">
            <v>98.945421268927916</v>
          </cell>
          <cell r="I525">
            <v>98.945514584658667</v>
          </cell>
        </row>
        <row r="526">
          <cell r="B526" t="str">
            <v>ENUC_BMGL</v>
          </cell>
          <cell r="C526" t="str">
            <v>VAR_cap</v>
          </cell>
          <cell r="D526" t="str">
            <v>-</v>
          </cell>
          <cell r="E526">
            <v>1.219999931318603</v>
          </cell>
          <cell r="F526">
            <v>1.2199998253052946</v>
          </cell>
          <cell r="G526">
            <v>1.2199997448078437</v>
          </cell>
          <cell r="H526">
            <v>1.2199998136365529</v>
          </cell>
          <cell r="I526">
            <v>1.2200001914480239</v>
          </cell>
        </row>
        <row r="527">
          <cell r="B527" t="str">
            <v>D-RSH2R</v>
          </cell>
          <cell r="C527" t="str">
            <v>VAR_fout</v>
          </cell>
          <cell r="D527" t="str">
            <v>RSH2</v>
          </cell>
          <cell r="H527">
            <v>9.7534674925929218E-4</v>
          </cell>
          <cell r="I527">
            <v>6.5323982665435457E-4</v>
          </cell>
          <cell r="J527">
            <v>5.5842741578103385E-4</v>
          </cell>
        </row>
        <row r="528">
          <cell r="B528" t="str">
            <v>D-RSH2R</v>
          </cell>
          <cell r="C528" t="str">
            <v>VAR_fin</v>
          </cell>
          <cell r="D528" t="str">
            <v>H2</v>
          </cell>
          <cell r="H528">
            <v>9.7534674925929218E-4</v>
          </cell>
          <cell r="I528">
            <v>6.5323982665435457E-4</v>
          </cell>
          <cell r="J528">
            <v>5.5842741578103385E-4</v>
          </cell>
        </row>
        <row r="529">
          <cell r="B529" t="str">
            <v>D-RSH2R</v>
          </cell>
          <cell r="C529" t="str">
            <v>VAR_ncap</v>
          </cell>
          <cell r="D529" t="str">
            <v>-</v>
          </cell>
          <cell r="H529">
            <v>1.4615330520808501E-4</v>
          </cell>
          <cell r="I529">
            <v>1.8377838681928101E-4</v>
          </cell>
          <cell r="J529">
            <v>7.6334925470397398E-5</v>
          </cell>
        </row>
        <row r="530">
          <cell r="B530" t="str">
            <v>D-RSH2R</v>
          </cell>
          <cell r="C530" t="str">
            <v>VAR_cap</v>
          </cell>
          <cell r="D530" t="str">
            <v>-</v>
          </cell>
          <cell r="H530">
            <v>1.4615330520808501E-4</v>
          </cell>
          <cell r="I530">
            <v>2.08239718612274E-4</v>
          </cell>
          <cell r="J530">
            <v>1.3928292764840201E-4</v>
          </cell>
        </row>
        <row r="531">
          <cell r="B531" t="str">
            <v>ENGA-GTOC</v>
          </cell>
          <cell r="C531" t="str">
            <v>VAR_fout</v>
          </cell>
          <cell r="D531" t="str">
            <v>ELC13</v>
          </cell>
          <cell r="I531">
            <v>2.7262929701074065E-5</v>
          </cell>
          <cell r="J531">
            <v>1.4748344558421164E-3</v>
          </cell>
        </row>
        <row r="532">
          <cell r="B532" t="str">
            <v>ENGA-GTOC</v>
          </cell>
          <cell r="C532" t="str">
            <v>VAR_fout</v>
          </cell>
          <cell r="D532" t="str">
            <v>CO2_E</v>
          </cell>
          <cell r="I532">
            <v>4.8572896177427102E-3</v>
          </cell>
          <cell r="J532">
            <v>0.21298842544009799</v>
          </cell>
        </row>
        <row r="533">
          <cell r="B533" t="str">
            <v>ENGA-GTOC</v>
          </cell>
          <cell r="C533" t="str">
            <v>VAR_fin</v>
          </cell>
          <cell r="D533" t="str">
            <v>ENGA</v>
          </cell>
          <cell r="I533">
            <v>8.6122156342955956E-5</v>
          </cell>
          <cell r="J533">
            <v>3.7763905219875562E-3</v>
          </cell>
        </row>
        <row r="534">
          <cell r="B534" t="str">
            <v>ENGA-GTOC</v>
          </cell>
          <cell r="C534" t="str">
            <v>VAR_fin</v>
          </cell>
          <cell r="D534" t="str">
            <v>GTC</v>
          </cell>
          <cell r="I534">
            <v>1.2694170740968982E-3</v>
          </cell>
          <cell r="J534">
            <v>1.279759451574679E-3</v>
          </cell>
        </row>
        <row r="535">
          <cell r="B535" t="str">
            <v>ENGA-GTOC</v>
          </cell>
          <cell r="C535" t="str">
            <v>VAR_ncap</v>
          </cell>
          <cell r="D535" t="str">
            <v>-</v>
          </cell>
          <cell r="I535">
            <v>1.13948629892905E-5</v>
          </cell>
          <cell r="J535">
            <v>9.4220798277544893E-6</v>
          </cell>
        </row>
        <row r="536">
          <cell r="B536" t="str">
            <v>ENGA-GTOC</v>
          </cell>
          <cell r="C536" t="str">
            <v>VAR_cap</v>
          </cell>
          <cell r="D536" t="str">
            <v>-</v>
          </cell>
          <cell r="I536">
            <v>1.2694170740968976E-3</v>
          </cell>
          <cell r="J536">
            <v>1.2797594515746827E-3</v>
          </cell>
        </row>
        <row r="537">
          <cell r="B537" t="str">
            <v>D-RSH2</v>
          </cell>
          <cell r="C537" t="str">
            <v>VAR_fout</v>
          </cell>
          <cell r="D537" t="str">
            <v>RSH2</v>
          </cell>
          <cell r="H537">
            <v>9.5685654662121321E-4</v>
          </cell>
          <cell r="I537">
            <v>6.2556138337211277E-4</v>
          </cell>
          <cell r="J537">
            <v>6.2520124114416533E-4</v>
          </cell>
        </row>
        <row r="538">
          <cell r="B538" t="str">
            <v>D-RSH2</v>
          </cell>
          <cell r="C538" t="str">
            <v>VAR_fin</v>
          </cell>
          <cell r="D538" t="str">
            <v>H2</v>
          </cell>
          <cell r="H538">
            <v>9.6414625107127503E-4</v>
          </cell>
          <cell r="I538">
            <v>6.3032715271994007E-4</v>
          </cell>
          <cell r="J538">
            <v>6.2996426678875819E-4</v>
          </cell>
        </row>
        <row r="539">
          <cell r="B539" t="str">
            <v>D-RSH2</v>
          </cell>
          <cell r="C539" t="str">
            <v>VAR_ncap</v>
          </cell>
          <cell r="D539" t="str">
            <v>-</v>
          </cell>
          <cell r="H539">
            <v>1.8586747814288801E-4</v>
          </cell>
          <cell r="I539">
            <v>3.6454550062960301E-6</v>
          </cell>
          <cell r="J539">
            <v>2.8000628507922301E-6</v>
          </cell>
        </row>
        <row r="540">
          <cell r="B540" t="str">
            <v>D-RSH2</v>
          </cell>
          <cell r="C540" t="str">
            <v>VAR_cap</v>
          </cell>
          <cell r="D540" t="str">
            <v>-</v>
          </cell>
          <cell r="H540">
            <v>1.8586747814288801E-4</v>
          </cell>
          <cell r="I540">
            <v>2.6437316306771199E-4</v>
          </cell>
          <cell r="J540">
            <v>2.6717322591850401E-4</v>
          </cell>
        </row>
        <row r="541">
          <cell r="B541" t="str">
            <v>D-RWOD</v>
          </cell>
          <cell r="C541" t="str">
            <v>VAR_fout</v>
          </cell>
          <cell r="D541" t="str">
            <v>RWOD</v>
          </cell>
          <cell r="E541">
            <v>13.723095357407702</v>
          </cell>
          <cell r="F541">
            <v>15.779749432794189</v>
          </cell>
          <cell r="G541">
            <v>17.833893803501866</v>
          </cell>
          <cell r="H541">
            <v>15.798073589898509</v>
          </cell>
          <cell r="I541">
            <v>11.683340399668895</v>
          </cell>
          <cell r="J541">
            <v>6.9705595325375285</v>
          </cell>
        </row>
        <row r="542">
          <cell r="B542" t="str">
            <v>D-RWOD</v>
          </cell>
          <cell r="C542" t="str">
            <v>VAR_fin</v>
          </cell>
          <cell r="D542" t="str">
            <v>WOD</v>
          </cell>
          <cell r="E542">
            <v>13.723095357407702</v>
          </cell>
          <cell r="F542">
            <v>15.779749432794189</v>
          </cell>
          <cell r="G542">
            <v>17.833893803501866</v>
          </cell>
          <cell r="H542">
            <v>15.798073589898509</v>
          </cell>
          <cell r="I542">
            <v>11.683340399668895</v>
          </cell>
          <cell r="J542">
            <v>6.9705595325375285</v>
          </cell>
        </row>
        <row r="543">
          <cell r="B543" t="str">
            <v>CHPOIL</v>
          </cell>
          <cell r="C543" t="str">
            <v>VAR_fout</v>
          </cell>
          <cell r="D543" t="str">
            <v>ELC35</v>
          </cell>
          <cell r="E543">
            <v>1.8093895518981832E-3</v>
          </cell>
          <cell r="F543">
            <v>1.1125629078877592E-3</v>
          </cell>
          <cell r="G543">
            <v>3.5423627894429219E-3</v>
          </cell>
          <cell r="H543">
            <v>5.1625971358800133E-4</v>
          </cell>
          <cell r="I543">
            <v>9.1833956059547066E-4</v>
          </cell>
          <cell r="J543">
            <v>1.7949693192505902E-5</v>
          </cell>
        </row>
        <row r="544">
          <cell r="B544" t="str">
            <v>CHPOIL</v>
          </cell>
          <cell r="C544" t="str">
            <v>VAR_fout</v>
          </cell>
          <cell r="D544" t="str">
            <v>LTH</v>
          </cell>
          <cell r="E544">
            <v>9.3054319811906663E-3</v>
          </cell>
          <cell r="F544">
            <v>5.7217520977084725E-3</v>
          </cell>
          <cell r="G544">
            <v>1.8217865774277888E-2</v>
          </cell>
          <cell r="H544">
            <v>2.6550499555954349E-3</v>
          </cell>
          <cell r="I544">
            <v>4.7228891687767045E-3</v>
          </cell>
          <cell r="J544">
            <v>9.2312707847173203E-5</v>
          </cell>
        </row>
        <row r="545">
          <cell r="B545" t="str">
            <v>CHPOIL</v>
          </cell>
          <cell r="C545" t="str">
            <v>VAR_fout</v>
          </cell>
          <cell r="D545" t="str">
            <v>CO2_E</v>
          </cell>
          <cell r="E545">
            <v>2.54128128389207</v>
          </cell>
          <cell r="F545">
            <v>1.03179270583094</v>
          </cell>
          <cell r="G545">
            <v>2.7764950748913702</v>
          </cell>
          <cell r="H545">
            <v>0.38315682848510302</v>
          </cell>
          <cell r="I545">
            <v>0.65573938651039199</v>
          </cell>
          <cell r="J545">
            <v>1.47633916927793E-2</v>
          </cell>
        </row>
        <row r="546">
          <cell r="B546" t="str">
            <v>CHPOIL</v>
          </cell>
          <cell r="C546" t="str">
            <v>VAR_fin</v>
          </cell>
          <cell r="D546" t="str">
            <v>ELFO</v>
          </cell>
          <cell r="E546">
            <v>3.4481428546703795E-2</v>
          </cell>
          <cell r="F546">
            <v>1.3999901028913768E-2</v>
          </cell>
          <cell r="G546">
            <v>3.7672931816707889E-2</v>
          </cell>
          <cell r="H546">
            <v>5.1988714855509266E-3</v>
          </cell>
          <cell r="I546">
            <v>8.8974136568574225E-3</v>
          </cell>
          <cell r="J546">
            <v>2.0031739067543107E-4</v>
          </cell>
        </row>
        <row r="547">
          <cell r="B547" t="str">
            <v>CHPOIL</v>
          </cell>
          <cell r="C547" t="str">
            <v>VAR_ncap</v>
          </cell>
          <cell r="D547" t="str">
            <v>-</v>
          </cell>
          <cell r="F547">
            <v>8.4849427099263894E-6</v>
          </cell>
          <cell r="G547">
            <v>9.64815008414602E-6</v>
          </cell>
          <cell r="H547">
            <v>9.4900192753111706E-6</v>
          </cell>
          <cell r="I547">
            <v>1.00843713844153E-4</v>
          </cell>
          <cell r="J547">
            <v>1.0112284756456E-4</v>
          </cell>
        </row>
        <row r="548">
          <cell r="B548" t="str">
            <v>CHPOIL</v>
          </cell>
          <cell r="C548" t="str">
            <v>VAR_cap</v>
          </cell>
          <cell r="D548" t="str">
            <v>-</v>
          </cell>
          <cell r="E548">
            <v>7.22315108378703E-3</v>
          </cell>
          <cell r="F548">
            <v>3.3076193126520973E-3</v>
          </cell>
          <cell r="G548">
            <v>2.932972179160242E-3</v>
          </cell>
          <cell r="H548">
            <v>1.3443196613396238E-3</v>
          </cell>
          <cell r="I548">
            <v>4.5312403361479607E-4</v>
          </cell>
          <cell r="J548">
            <v>2.2697061687695013E-4</v>
          </cell>
        </row>
        <row r="549">
          <cell r="B549" t="str">
            <v>CHPHFC</v>
          </cell>
          <cell r="C549" t="str">
            <v>VAR_fout</v>
          </cell>
          <cell r="D549" t="str">
            <v>ELC35</v>
          </cell>
          <cell r="I549">
            <v>9.4366132523989905E-3</v>
          </cell>
          <cell r="J549">
            <v>9.5736306971418161E-3</v>
          </cell>
        </row>
        <row r="550">
          <cell r="B550" t="str">
            <v>CHPHFC</v>
          </cell>
          <cell r="C550" t="str">
            <v>VAR_fout</v>
          </cell>
          <cell r="D550" t="str">
            <v>LTH</v>
          </cell>
          <cell r="I550">
            <v>1.1458744663627313E-2</v>
          </cell>
          <cell r="J550">
            <v>1.2081010165440836E-2</v>
          </cell>
        </row>
        <row r="551">
          <cell r="B551" t="str">
            <v>CHPHFC</v>
          </cell>
          <cell r="C551" t="str">
            <v>VAR_fin</v>
          </cell>
          <cell r="D551" t="str">
            <v>EH2</v>
          </cell>
          <cell r="I551">
            <v>2.2468126791426183E-2</v>
          </cell>
          <cell r="J551">
            <v>2.2794358802718625E-2</v>
          </cell>
        </row>
        <row r="552">
          <cell r="B552" t="str">
            <v>CHPHFC</v>
          </cell>
          <cell r="C552" t="str">
            <v>VAR_ncap</v>
          </cell>
          <cell r="D552" t="str">
            <v>-</v>
          </cell>
          <cell r="I552">
            <v>1.09052238455631E-3</v>
          </cell>
          <cell r="J552">
            <v>6.0372741927711398E-6</v>
          </cell>
        </row>
        <row r="553">
          <cell r="B553" t="str">
            <v>CHPHFC</v>
          </cell>
          <cell r="C553" t="str">
            <v>VAR_cap</v>
          </cell>
          <cell r="D553" t="str">
            <v>-</v>
          </cell>
          <cell r="I553">
            <v>1.09052238455631E-3</v>
          </cell>
          <cell r="J553">
            <v>1.0962515874097739E-3</v>
          </cell>
        </row>
        <row r="554">
          <cell r="B554" t="str">
            <v>ITOT-ESOLPV</v>
          </cell>
          <cell r="C554" t="str">
            <v>VAR_fout</v>
          </cell>
          <cell r="D554" t="str">
            <v>ITOT_SOL_ELC</v>
          </cell>
          <cell r="E554">
            <v>3.517953999707534</v>
          </cell>
          <cell r="F554">
            <v>4.8498377393898808</v>
          </cell>
          <cell r="G554">
            <v>11.161619403278777</v>
          </cell>
          <cell r="H554">
            <v>19.470817746844464</v>
          </cell>
          <cell r="I554">
            <v>40.834409442792669</v>
          </cell>
          <cell r="J554">
            <v>55.443187600975179</v>
          </cell>
        </row>
        <row r="555">
          <cell r="B555" t="str">
            <v>ITOT-ESOLPV</v>
          </cell>
          <cell r="C555" t="str">
            <v>VAR_fin</v>
          </cell>
          <cell r="D555" t="str">
            <v>SOL</v>
          </cell>
          <cell r="E555">
            <v>3.517953999707534</v>
          </cell>
          <cell r="F555">
            <v>4.8498377393898808</v>
          </cell>
          <cell r="G555">
            <v>11.161619403278777</v>
          </cell>
          <cell r="H555">
            <v>19.470817746844464</v>
          </cell>
          <cell r="I555">
            <v>40.834409442792669</v>
          </cell>
          <cell r="J555">
            <v>55.443187600975179</v>
          </cell>
        </row>
        <row r="556">
          <cell r="B556" t="str">
            <v>ITOT-ESOLPV</v>
          </cell>
          <cell r="C556" t="str">
            <v>VAR_fin</v>
          </cell>
          <cell r="D556" t="str">
            <v>SOLPVC</v>
          </cell>
          <cell r="E556">
            <v>3.51795399970753</v>
          </cell>
          <cell r="F556">
            <v>4.8498377393898799</v>
          </cell>
          <cell r="G556">
            <v>11.161619403278801</v>
          </cell>
          <cell r="H556">
            <v>19.470817746844499</v>
          </cell>
          <cell r="I556">
            <v>40.834409442792598</v>
          </cell>
          <cell r="J556">
            <v>55.4431876009752</v>
          </cell>
        </row>
        <row r="557">
          <cell r="B557" t="str">
            <v>ITOT-ESOLPV</v>
          </cell>
          <cell r="C557" t="str">
            <v>VAR_ncap</v>
          </cell>
          <cell r="D557" t="str">
            <v>-</v>
          </cell>
          <cell r="F557">
            <v>6.8629576705329203E-7</v>
          </cell>
          <cell r="G557">
            <v>1.76796293626108</v>
          </cell>
          <cell r="H557">
            <v>2.1224210838811501</v>
          </cell>
          <cell r="I557">
            <v>3.7926827785501902</v>
          </cell>
          <cell r="J557">
            <v>8.7804263198247607</v>
          </cell>
        </row>
        <row r="558">
          <cell r="B558" t="str">
            <v>ITOT-ESOLPV</v>
          </cell>
          <cell r="C558" t="str">
            <v>VAR_cap</v>
          </cell>
          <cell r="D558" t="str">
            <v>-</v>
          </cell>
          <cell r="E558">
            <v>1.1186210000000001</v>
          </cell>
          <cell r="F558">
            <v>1.6529277008828172</v>
          </cell>
          <cell r="G558">
            <v>3.5611846225568398</v>
          </cell>
          <cell r="H558">
            <v>5.6146898096338802</v>
          </cell>
          <cell r="I558">
            <v>11.775189436886036</v>
          </cell>
          <cell r="J558">
            <v>15.9878396939952</v>
          </cell>
        </row>
        <row r="559">
          <cell r="B559" t="str">
            <v>SUP_WODBIOCCS</v>
          </cell>
          <cell r="C559" t="str">
            <v>VAR_fout</v>
          </cell>
          <cell r="D559" t="str">
            <v>ELC35</v>
          </cell>
          <cell r="I559">
            <v>6.6339802506846189E-5</v>
          </cell>
          <cell r="J559">
            <v>6.1343753330101253E-2</v>
          </cell>
        </row>
        <row r="560">
          <cell r="B560" t="str">
            <v>SUP_WODBIOCCS</v>
          </cell>
          <cell r="C560" t="str">
            <v>VAR_fout</v>
          </cell>
          <cell r="D560" t="str">
            <v>CO2_O</v>
          </cell>
          <cell r="I560">
            <v>0.10217851590269025</v>
          </cell>
          <cell r="J560">
            <v>97.723808950709383</v>
          </cell>
        </row>
        <row r="561">
          <cell r="B561" t="str">
            <v>SUP_WODBIOCCS</v>
          </cell>
          <cell r="C561" t="str">
            <v>VAR_fout</v>
          </cell>
          <cell r="D561" t="str">
            <v>CO2</v>
          </cell>
          <cell r="I561">
            <v>-0.10217851590269</v>
          </cell>
          <cell r="J561">
            <v>-97.723808950709397</v>
          </cell>
        </row>
        <row r="562">
          <cell r="B562" t="str">
            <v>SUP_WODBIOCCS</v>
          </cell>
          <cell r="C562" t="str">
            <v>VAR_fout</v>
          </cell>
          <cell r="D562" t="str">
            <v>BIO</v>
          </cell>
          <cell r="I562">
            <v>1.5986966539438836E-3</v>
          </cell>
          <cell r="J562">
            <v>1.5335458798955859</v>
          </cell>
        </row>
        <row r="563">
          <cell r="B563" t="str">
            <v>SUP_WODBIOCCS</v>
          </cell>
          <cell r="C563" t="str">
            <v>VAR_fout</v>
          </cell>
          <cell r="D563" t="str">
            <v>LTH</v>
          </cell>
          <cell r="I563">
            <v>1.9497254675846743E-4</v>
          </cell>
          <cell r="J563">
            <v>0.18402800783029521</v>
          </cell>
        </row>
        <row r="564">
          <cell r="B564" t="str">
            <v>SUP_WODBIOCCS</v>
          </cell>
          <cell r="C564" t="str">
            <v>VAR_fin</v>
          </cell>
          <cell r="D564" t="str">
            <v>CWOD</v>
          </cell>
          <cell r="I564">
            <v>2.383982578060257E-3</v>
          </cell>
          <cell r="J564">
            <v>2.2961308934633653</v>
          </cell>
        </row>
        <row r="565">
          <cell r="B565" t="str">
            <v>SUP_WODBIOCCS</v>
          </cell>
          <cell r="C565" t="str">
            <v>VAR_ncap</v>
          </cell>
          <cell r="D565" t="str">
            <v>-</v>
          </cell>
          <cell r="I565">
            <v>9.5062810263645803E-5</v>
          </cell>
          <cell r="J565">
            <v>6.1672764986255499E-2</v>
          </cell>
        </row>
        <row r="566">
          <cell r="B566" t="str">
            <v>SUP_WODBIOCCS</v>
          </cell>
          <cell r="C566" t="str">
            <v>VAR_cap</v>
          </cell>
          <cell r="D566" t="str">
            <v>-</v>
          </cell>
          <cell r="I566">
            <v>9.5062810263645803E-5</v>
          </cell>
          <cell r="J566">
            <v>6.1767827796519098E-2</v>
          </cell>
        </row>
        <row r="567">
          <cell r="B567" t="str">
            <v>RHNS-CHPNGA</v>
          </cell>
          <cell r="C567" t="str">
            <v>VAR_fout</v>
          </cell>
          <cell r="D567" t="str">
            <v>CO2_R</v>
          </cell>
          <cell r="F567">
            <v>0.25544912995372898</v>
          </cell>
          <cell r="G567">
            <v>1.17995199008553</v>
          </cell>
          <cell r="H567">
            <v>0.40228407332840799</v>
          </cell>
          <cell r="I567">
            <v>0.417934238907332</v>
          </cell>
        </row>
        <row r="568">
          <cell r="B568" t="str">
            <v>RHNS-CHPNGA</v>
          </cell>
          <cell r="C568" t="str">
            <v>VAR_fout</v>
          </cell>
          <cell r="D568" t="str">
            <v>RHNS_LTH_CHPNGA</v>
          </cell>
          <cell r="F568">
            <v>2.6769868734420779E-3</v>
          </cell>
          <cell r="G568">
            <v>8.7565314528748484E-3</v>
          </cell>
          <cell r="H568">
            <v>4.1705599389506793E-3</v>
          </cell>
          <cell r="I568">
            <v>4.3810489717373098E-3</v>
          </cell>
        </row>
        <row r="569">
          <cell r="B569" t="str">
            <v>RHNS-CHPNGA</v>
          </cell>
          <cell r="C569" t="str">
            <v>VAR_fout</v>
          </cell>
          <cell r="D569" t="str">
            <v>RHNS_NKEV_GAS_ELC_CHP</v>
          </cell>
          <cell r="F569">
            <v>1.1233359659870155E-3</v>
          </cell>
          <cell r="G569">
            <v>3.7316447454190374E-3</v>
          </cell>
          <cell r="H569">
            <v>1.8246199732909181E-3</v>
          </cell>
          <cell r="I569">
            <v>1.9509358702267691E-3</v>
          </cell>
        </row>
        <row r="570">
          <cell r="B570" t="str">
            <v>RHNS-CHPNGA</v>
          </cell>
          <cell r="C570" t="str">
            <v>VAR_fin</v>
          </cell>
          <cell r="D570" t="str">
            <v>RNGA</v>
          </cell>
          <cell r="F570">
            <v>4.5292398927966101E-3</v>
          </cell>
          <cell r="G570">
            <v>2.0921134575984646E-2</v>
          </cell>
          <cell r="H570">
            <v>7.1326963356100606E-3</v>
          </cell>
          <cell r="I570">
            <v>7.4101815409101561E-3</v>
          </cell>
        </row>
        <row r="571">
          <cell r="B571" t="str">
            <v>RHNS-CHPNGA</v>
          </cell>
          <cell r="C571" t="str">
            <v>VAR_ncap</v>
          </cell>
          <cell r="D571" t="str">
            <v>-</v>
          </cell>
          <cell r="F571">
            <v>3.32626338955625E-4</v>
          </cell>
        </row>
        <row r="572">
          <cell r="B572" t="str">
            <v>RHNS-CHPNGA</v>
          </cell>
          <cell r="C572" t="str">
            <v>VAR_cap</v>
          </cell>
          <cell r="D572" t="str">
            <v>-</v>
          </cell>
          <cell r="F572">
            <v>3.32626338955625E-4</v>
          </cell>
          <cell r="G572">
            <v>3.3261510963957262E-4</v>
          </cell>
          <cell r="H572">
            <v>3.3260218160226321E-4</v>
          </cell>
          <cell r="I572">
            <v>1.7244098506978214E-4</v>
          </cell>
        </row>
        <row r="573">
          <cell r="B573" t="str">
            <v>ENUC_BEZ</v>
          </cell>
          <cell r="C573" t="str">
            <v>VAR_fout</v>
          </cell>
          <cell r="D573" t="str">
            <v>ELC</v>
          </cell>
          <cell r="E573">
            <v>20.224805433691518</v>
          </cell>
          <cell r="F573">
            <v>20.224773867212097</v>
          </cell>
          <cell r="G573">
            <v>9.4019301360512717</v>
          </cell>
          <cell r="H573">
            <v>7.399149101811509</v>
          </cell>
        </row>
        <row r="574">
          <cell r="B574" t="str">
            <v>ENUC_BEZ</v>
          </cell>
          <cell r="C574" t="str">
            <v>VAR_fin</v>
          </cell>
          <cell r="D574" t="str">
            <v>URN</v>
          </cell>
          <cell r="E574">
            <v>60.972111406157033</v>
          </cell>
          <cell r="F574">
            <v>60.972016242082177</v>
          </cell>
          <cell r="G574">
            <v>28.344180297194146</v>
          </cell>
          <cell r="H574">
            <v>22.306357647074464</v>
          </cell>
        </row>
        <row r="575">
          <cell r="B575" t="str">
            <v>ENUC_BEZ</v>
          </cell>
          <cell r="C575" t="str">
            <v>VAR_cap</v>
          </cell>
          <cell r="D575" t="str">
            <v>-</v>
          </cell>
          <cell r="E575">
            <v>0.72999985449904137</v>
          </cell>
          <cell r="F575">
            <v>0.72999936487286576</v>
          </cell>
          <cell r="G575">
            <v>0.365015353513295</v>
          </cell>
          <cell r="H575">
            <v>0.26706820253797647</v>
          </cell>
        </row>
        <row r="576">
          <cell r="B576" t="str">
            <v>RHNM-CHPWOD</v>
          </cell>
          <cell r="C576" t="str">
            <v>VAR_fout</v>
          </cell>
          <cell r="D576" t="str">
            <v>RHNM_LTH_CHPWOD</v>
          </cell>
          <cell r="H576">
            <v>7.528277097229719E-3</v>
          </cell>
          <cell r="I576">
            <v>0.15409211851037033</v>
          </cell>
          <cell r="J576">
            <v>1.6520686591837551E-2</v>
          </cell>
        </row>
        <row r="577">
          <cell r="B577" t="str">
            <v>RHNM-CHPWOD</v>
          </cell>
          <cell r="C577" t="str">
            <v>VAR_fout</v>
          </cell>
          <cell r="D577" t="str">
            <v>RHNM_KEV_WOD_ELC_CHP</v>
          </cell>
          <cell r="H577">
            <v>2.8300745384030219E-3</v>
          </cell>
          <cell r="I577">
            <v>5.7927222328898402E-2</v>
          </cell>
          <cell r="J577">
            <v>6.2105544039685514E-3</v>
          </cell>
        </row>
        <row r="578">
          <cell r="B578" t="str">
            <v>RHNM-CHPWOD</v>
          </cell>
          <cell r="C578" t="str">
            <v>VAR_fin</v>
          </cell>
          <cell r="D578" t="str">
            <v>RWOD</v>
          </cell>
          <cell r="H578">
            <v>1.1667373122014988E-2</v>
          </cell>
          <cell r="I578">
            <v>0.21245301198376826</v>
          </cell>
          <cell r="J578">
            <v>2.2345647440983014E-2</v>
          </cell>
        </row>
        <row r="579">
          <cell r="B579" t="str">
            <v>RHNM-CHPWOD</v>
          </cell>
          <cell r="C579" t="str">
            <v>VAR_ncap</v>
          </cell>
          <cell r="D579" t="str">
            <v>-</v>
          </cell>
          <cell r="H579">
            <v>2.10346298093705E-4</v>
          </cell>
          <cell r="I579">
            <v>2.32008166166792E-3</v>
          </cell>
          <cell r="J579">
            <v>7.9889987064681399E-7</v>
          </cell>
        </row>
        <row r="580">
          <cell r="B580" t="str">
            <v>RHNM-CHPWOD</v>
          </cell>
          <cell r="C580" t="str">
            <v>VAR_cap</v>
          </cell>
          <cell r="D580" t="str">
            <v>-</v>
          </cell>
          <cell r="H580">
            <v>2.10346298093705E-4</v>
          </cell>
          <cell r="I580">
            <v>4.2986551202431013E-3</v>
          </cell>
          <cell r="J580">
            <v>4.6161785471474006E-4</v>
          </cell>
        </row>
        <row r="581">
          <cell r="B581" t="str">
            <v>RHNM-SHSTG-CHPNGA</v>
          </cell>
          <cell r="C581" t="str">
            <v>VAR_fout</v>
          </cell>
          <cell r="D581" t="str">
            <v>AUX_RNM-CHPNGA_OUT</v>
          </cell>
          <cell r="E581">
            <v>1.2500950639954813E-3</v>
          </cell>
          <cell r="F581">
            <v>1.4751225403185251E-3</v>
          </cell>
          <cell r="G581">
            <v>1.0070314435894085E-2</v>
          </cell>
          <cell r="H581">
            <v>1.2469045387869001E-3</v>
          </cell>
          <cell r="I581">
            <v>2.4049247121858556E-3</v>
          </cell>
          <cell r="J581">
            <v>7.6272042230358505E-4</v>
          </cell>
        </row>
        <row r="582">
          <cell r="B582" t="str">
            <v>RHNM-SHSTG-CHPNGA</v>
          </cell>
          <cell r="C582" t="str">
            <v>VAR_fout</v>
          </cell>
          <cell r="D582" t="str">
            <v>RHNM_LTH_CHPNGA</v>
          </cell>
          <cell r="E582">
            <v>1.2500950639954774E-3</v>
          </cell>
          <cell r="F582">
            <v>1.4761059553454012E-3</v>
          </cell>
          <cell r="G582">
            <v>1.0080804346764796E-2</v>
          </cell>
          <cell r="H582">
            <v>1.2469045387869001E-3</v>
          </cell>
          <cell r="I582">
            <v>2.4049247121858486E-3</v>
          </cell>
          <cell r="J582">
            <v>7.627204223035844E-4</v>
          </cell>
        </row>
        <row r="583">
          <cell r="B583" t="str">
            <v>RHNM-SHSTG-CHPNGA</v>
          </cell>
          <cell r="C583" t="str">
            <v>VAR_fin</v>
          </cell>
          <cell r="D583" t="str">
            <v>AUX_RNM-CHPNGA_IN</v>
          </cell>
          <cell r="E583">
            <v>9.7508588248100688E-4</v>
          </cell>
          <cell r="F583">
            <v>1.9288448007432591E-3</v>
          </cell>
          <cell r="G583">
            <v>1.2993404937098274E-2</v>
          </cell>
          <cell r="H583">
            <v>1.5656729447410412E-3</v>
          </cell>
          <cell r="I583">
            <v>2.8364065237335787E-3</v>
          </cell>
          <cell r="J583">
            <v>6.483667276689578E-4</v>
          </cell>
        </row>
        <row r="584">
          <cell r="B584" t="str">
            <v>RHNM-SHSTG-CHPNGA</v>
          </cell>
          <cell r="C584" t="str">
            <v>VAR_fin</v>
          </cell>
          <cell r="D584" t="str">
            <v>RHNM_LTH_CHPNGA</v>
          </cell>
          <cell r="E584">
            <v>9.7508588248100688E-4</v>
          </cell>
          <cell r="F584">
            <v>1.9288448007432591E-3</v>
          </cell>
          <cell r="G584">
            <v>1.2993404937098274E-2</v>
          </cell>
          <cell r="H584">
            <v>1.5656729447410412E-3</v>
          </cell>
          <cell r="I584">
            <v>2.8364065237335787E-3</v>
          </cell>
          <cell r="J584">
            <v>6.483667276689578E-4</v>
          </cell>
        </row>
        <row r="585">
          <cell r="B585" t="str">
            <v>RHNM-SHSTG-CHPNGA</v>
          </cell>
          <cell r="C585" t="str">
            <v>VAR_ncap</v>
          </cell>
          <cell r="D585" t="str">
            <v>-</v>
          </cell>
          <cell r="E585">
            <v>9.3301387756739105E-3</v>
          </cell>
          <cell r="F585">
            <v>2.5963165467615901E-4</v>
          </cell>
          <cell r="G585">
            <v>2.0530410207300799E-4</v>
          </cell>
          <cell r="H585">
            <v>1.11775564193156E-4</v>
          </cell>
          <cell r="I585">
            <v>2.0464246293345001E-4</v>
          </cell>
          <cell r="J585">
            <v>6.8376763504994807E-5</v>
          </cell>
        </row>
        <row r="586">
          <cell r="B586" t="str">
            <v>RHNM-SHSTG-CHPNGA</v>
          </cell>
          <cell r="C586" t="str">
            <v>VAR_cap</v>
          </cell>
          <cell r="D586" t="str">
            <v>-</v>
          </cell>
          <cell r="E586">
            <v>9.3301387756739105E-3</v>
          </cell>
          <cell r="F586">
            <v>9.573715988644425E-3</v>
          </cell>
          <cell r="G586">
            <v>9.7311395865064421E-3</v>
          </cell>
          <cell r="H586">
            <v>9.7119023016365175E-3</v>
          </cell>
          <cell r="I586">
            <v>8.2628985799405499E-3</v>
          </cell>
          <cell r="J586">
            <v>3.5420724791004835E-3</v>
          </cell>
        </row>
        <row r="587">
          <cell r="B587" t="str">
            <v>CT_CWODBDS</v>
          </cell>
          <cell r="C587" t="str">
            <v>VAR_fout</v>
          </cell>
          <cell r="D587" t="str">
            <v>BDS</v>
          </cell>
          <cell r="E587">
            <v>0.13803200651567352</v>
          </cell>
          <cell r="F587">
            <v>1.2036142113716122</v>
          </cell>
          <cell r="G587">
            <v>1.2029202954980946</v>
          </cell>
          <cell r="H587">
            <v>0.95412765047307246</v>
          </cell>
          <cell r="I587">
            <v>2.3530643485739993</v>
          </cell>
          <cell r="J587">
            <v>1.8745478381755225</v>
          </cell>
        </row>
        <row r="588">
          <cell r="B588" t="str">
            <v>CT_CWODBDS</v>
          </cell>
          <cell r="C588" t="str">
            <v>VAR_fout</v>
          </cell>
          <cell r="D588" t="str">
            <v>LTH</v>
          </cell>
          <cell r="E588">
            <v>5.3832482541112607E-2</v>
          </cell>
          <cell r="F588">
            <v>0.4694095424349275</v>
          </cell>
          <cell r="G588">
            <v>0.46913891524425599</v>
          </cell>
          <cell r="H588">
            <v>0.37210978368449743</v>
          </cell>
          <cell r="I588">
            <v>0.91769509594385867</v>
          </cell>
          <cell r="J588">
            <v>0.73107365688845227</v>
          </cell>
        </row>
        <row r="589">
          <cell r="B589" t="str">
            <v>CT_CWODBDS</v>
          </cell>
          <cell r="C589" t="str">
            <v>VAR_fin</v>
          </cell>
          <cell r="D589" t="str">
            <v>CWOD</v>
          </cell>
          <cell r="E589">
            <v>0.39332220256641126</v>
          </cell>
          <cell r="F589">
            <v>3.4296986953034057</v>
          </cell>
          <cell r="G589">
            <v>3.4277213820218182</v>
          </cell>
          <cell r="H589">
            <v>2.7187867400230186</v>
          </cell>
          <cell r="I589">
            <v>6.7050568612616077</v>
          </cell>
          <cell r="J589">
            <v>5.3415240648811499</v>
          </cell>
        </row>
        <row r="590">
          <cell r="B590" t="str">
            <v>CT_CWODBDS</v>
          </cell>
          <cell r="C590" t="str">
            <v>VAR_fin</v>
          </cell>
          <cell r="D590" t="str">
            <v>CELC</v>
          </cell>
          <cell r="E590">
            <v>9.5932244528393121E-3</v>
          </cell>
          <cell r="F590">
            <v>8.3651187690326964E-2</v>
          </cell>
          <cell r="G590">
            <v>8.3602960537117535E-2</v>
          </cell>
          <cell r="H590">
            <v>6.63118717078785E-2</v>
          </cell>
          <cell r="I590">
            <v>0.163537972225893</v>
          </cell>
          <cell r="J590">
            <v>0.13028107475319869</v>
          </cell>
        </row>
        <row r="591">
          <cell r="B591" t="str">
            <v>CT_CWODBDS</v>
          </cell>
          <cell r="C591" t="str">
            <v>VAR_ncap</v>
          </cell>
          <cell r="D591" t="str">
            <v>-</v>
          </cell>
          <cell r="E591">
            <v>1.28021480288341E-6</v>
          </cell>
          <cell r="F591">
            <v>1.2951362444173999E-6</v>
          </cell>
          <cell r="G591">
            <v>1.70714236946556E-6</v>
          </cell>
          <cell r="H591">
            <v>1.0714620830728601E-6</v>
          </cell>
          <cell r="I591">
            <v>1.2786188553678201E-6</v>
          </cell>
          <cell r="J591">
            <v>5.4243724665866001E-7</v>
          </cell>
        </row>
        <row r="592">
          <cell r="B592" t="str">
            <v>CT_CWODBDS</v>
          </cell>
          <cell r="C592" t="str">
            <v>VAR_cap</v>
          </cell>
          <cell r="D592" t="str">
            <v>-</v>
          </cell>
          <cell r="E592">
            <v>6.2412710042628362E-2</v>
          </cell>
          <cell r="F592">
            <v>6.2413646985179552E-2</v>
          </cell>
          <cell r="G592">
            <v>6.2378056463195906E-2</v>
          </cell>
          <cell r="H592">
            <v>4.9477639747020991E-2</v>
          </cell>
          <cell r="I592">
            <v>0.1220174597931858</v>
          </cell>
          <cell r="J592">
            <v>9.7223515414811168E-2</v>
          </cell>
        </row>
        <row r="593">
          <cell r="B593" t="str">
            <v>RHNS-EBAT</v>
          </cell>
          <cell r="C593" t="str">
            <v>VAR_fout</v>
          </cell>
          <cell r="D593" t="str">
            <v>RHNS_ELC</v>
          </cell>
          <cell r="E593">
            <v>3.5172849881122087E-3</v>
          </cell>
          <cell r="F593">
            <v>3.4974436933649595E-3</v>
          </cell>
          <cell r="G593">
            <v>3.5116901166324988E-3</v>
          </cell>
          <cell r="H593">
            <v>6.3342844821077701E-2</v>
          </cell>
          <cell r="I593">
            <v>4.0435812627905986E-2</v>
          </cell>
          <cell r="J593">
            <v>3.1968001526199941E-2</v>
          </cell>
        </row>
        <row r="594">
          <cell r="B594" t="str">
            <v>RHNS-EBAT</v>
          </cell>
          <cell r="C594" t="str">
            <v>VAR_fout</v>
          </cell>
          <cell r="D594" t="str">
            <v>AUX_RHNS-EBAT_OUT</v>
          </cell>
          <cell r="E594">
            <v>3.5172849881122126E-3</v>
          </cell>
          <cell r="F594">
            <v>3.4974436933649647E-3</v>
          </cell>
          <cell r="G594">
            <v>3.5116901166325019E-3</v>
          </cell>
          <cell r="H594">
            <v>6.3342844821077757E-2</v>
          </cell>
          <cell r="I594">
            <v>4.0435812627906007E-2</v>
          </cell>
          <cell r="J594">
            <v>3.1968001526199961E-2</v>
          </cell>
        </row>
        <row r="595">
          <cell r="B595" t="str">
            <v>RHNS-EBAT</v>
          </cell>
          <cell r="C595" t="str">
            <v>VAR_fin</v>
          </cell>
          <cell r="D595" t="str">
            <v>RHNS_ELC</v>
          </cell>
          <cell r="E595">
            <v>3.9209406306625208E-3</v>
          </cell>
          <cell r="F595">
            <v>3.8936376677400327E-3</v>
          </cell>
          <cell r="G595">
            <v>3.887420492846932E-3</v>
          </cell>
          <cell r="H595">
            <v>7.0051539053252884E-2</v>
          </cell>
          <cell r="I595">
            <v>4.4719008903732198E-2</v>
          </cell>
          <cell r="J595">
            <v>3.5354754704124844E-2</v>
          </cell>
        </row>
        <row r="596">
          <cell r="B596" t="str">
            <v>RHNS-EBAT</v>
          </cell>
          <cell r="C596" t="str">
            <v>VAR_fin</v>
          </cell>
          <cell r="D596" t="str">
            <v>AUX_RHNS-EBAT_IN</v>
          </cell>
          <cell r="E596">
            <v>3.9209406306625208E-3</v>
          </cell>
          <cell r="F596">
            <v>3.8936376677400327E-3</v>
          </cell>
          <cell r="G596">
            <v>3.887420492846932E-3</v>
          </cell>
          <cell r="H596">
            <v>7.0051539053252884E-2</v>
          </cell>
          <cell r="I596">
            <v>4.4719008903732198E-2</v>
          </cell>
          <cell r="J596">
            <v>3.5354754704124844E-2</v>
          </cell>
        </row>
        <row r="597">
          <cell r="B597" t="str">
            <v>RHNS-EBAT</v>
          </cell>
          <cell r="C597" t="str">
            <v>VAR_ncap</v>
          </cell>
          <cell r="D597" t="str">
            <v>-</v>
          </cell>
          <cell r="E597">
            <v>1.43304205226685E-3</v>
          </cell>
          <cell r="F597">
            <v>2.2458567801101701E-6</v>
          </cell>
          <cell r="G597">
            <v>6.5596724439877896E-6</v>
          </cell>
          <cell r="H597">
            <v>2.4890894055153299E-2</v>
          </cell>
          <cell r="I597">
            <v>2.1315083428921501E-2</v>
          </cell>
          <cell r="J597">
            <v>4.3561705975434899E-3</v>
          </cell>
        </row>
        <row r="598">
          <cell r="B598" t="str">
            <v>RHNS-EBAT</v>
          </cell>
          <cell r="C598" t="str">
            <v>VAR_cap</v>
          </cell>
          <cell r="D598" t="str">
            <v>-</v>
          </cell>
          <cell r="E598">
            <v>1.4356226200730486E-3</v>
          </cell>
          <cell r="F598">
            <v>1.4371204913455435E-3</v>
          </cell>
          <cell r="G598">
            <v>1.4422968866865276E-3</v>
          </cell>
          <cell r="H598">
            <v>2.5945570716291243E-2</v>
          </cell>
          <cell r="I598">
            <v>2.7874374178042685E-2</v>
          </cell>
          <cell r="J598">
            <v>1.5422543735529183E-2</v>
          </cell>
        </row>
        <row r="599">
          <cell r="B599" t="str">
            <v>G-INTC-EXP00-AT</v>
          </cell>
          <cell r="C599" t="str">
            <v>VAR_fout</v>
          </cell>
          <cell r="D599" t="str">
            <v>ELC_E-AT</v>
          </cell>
          <cell r="E599">
            <v>6.2295821392174782</v>
          </cell>
          <cell r="F599">
            <v>2.3578333974117131E-3</v>
          </cell>
          <cell r="G599">
            <v>2.9019737270762616E-3</v>
          </cell>
          <cell r="H599">
            <v>6.4791491826501966E-4</v>
          </cell>
          <cell r="I599">
            <v>8.5969181290441706E-4</v>
          </cell>
          <cell r="J599">
            <v>4.3121694012426994E-4</v>
          </cell>
        </row>
        <row r="600">
          <cell r="B600" t="str">
            <v>G-INTC-EXP00-AT</v>
          </cell>
          <cell r="C600" t="str">
            <v>VAR_fin</v>
          </cell>
          <cell r="D600" t="str">
            <v>ELC</v>
          </cell>
          <cell r="E600">
            <v>6.2295821392174782</v>
          </cell>
          <cell r="F600">
            <v>2.3578333974117131E-3</v>
          </cell>
          <cell r="G600">
            <v>2.9019737270762616E-3</v>
          </cell>
          <cell r="H600">
            <v>6.4791491826501966E-4</v>
          </cell>
          <cell r="I600">
            <v>8.5969181290441706E-4</v>
          </cell>
          <cell r="J600">
            <v>4.3121694012426994E-4</v>
          </cell>
        </row>
        <row r="601">
          <cell r="B601" t="str">
            <v>G-INTC-EXP00-AT</v>
          </cell>
          <cell r="C601" t="str">
            <v>VAR_ncap</v>
          </cell>
          <cell r="D601" t="str">
            <v>-</v>
          </cell>
          <cell r="E601">
            <v>3.0556682921398701E-6</v>
          </cell>
          <cell r="F601">
            <v>3.24321671529354E-6</v>
          </cell>
          <cell r="G601">
            <v>4.6813008556096797E-6</v>
          </cell>
          <cell r="H601">
            <v>4.1252529037011604E-6</v>
          </cell>
          <cell r="I601">
            <v>4.5505346610768599E-6</v>
          </cell>
          <cell r="J601">
            <v>8.3796551950179306E-6</v>
          </cell>
        </row>
        <row r="602">
          <cell r="B602" t="str">
            <v>G-INTC-EXP00-AT</v>
          </cell>
          <cell r="C602" t="str">
            <v>VAR_cap</v>
          </cell>
          <cell r="D602" t="str">
            <v>-</v>
          </cell>
          <cell r="E602">
            <v>0.23917816748922793</v>
          </cell>
          <cell r="F602">
            <v>1.4618503951300266E-3</v>
          </cell>
          <cell r="G602">
            <v>1.4517062619099352E-3</v>
          </cell>
          <cell r="H602">
            <v>1.4465109216525995E-3</v>
          </cell>
          <cell r="I602">
            <v>1.4424357643667562E-3</v>
          </cell>
          <cell r="J602">
            <v>1.4460392473916173E-3</v>
          </cell>
        </row>
        <row r="603">
          <cell r="B603" t="str">
            <v>G-INTC-IMP00-DE</v>
          </cell>
          <cell r="C603" t="str">
            <v>VAR_fout</v>
          </cell>
          <cell r="D603" t="str">
            <v>ELC</v>
          </cell>
          <cell r="E603">
            <v>46.398500037170123</v>
          </cell>
          <cell r="F603">
            <v>28.492116506512957</v>
          </cell>
          <cell r="G603">
            <v>24.335243056635694</v>
          </cell>
          <cell r="H603">
            <v>32.437866097606076</v>
          </cell>
          <cell r="I603">
            <v>13.839922435325898</v>
          </cell>
          <cell r="J603">
            <v>4.6227252277786501</v>
          </cell>
        </row>
        <row r="604">
          <cell r="B604" t="str">
            <v>G-INTC-IMP00-DE</v>
          </cell>
          <cell r="C604" t="str">
            <v>VAR_fin</v>
          </cell>
          <cell r="D604" t="str">
            <v>ELC_I-DE</v>
          </cell>
          <cell r="E604">
            <v>46.398500037170123</v>
          </cell>
          <cell r="F604">
            <v>28.492116506512957</v>
          </cell>
          <cell r="G604">
            <v>24.335243056635694</v>
          </cell>
          <cell r="H604">
            <v>32.437866097606076</v>
          </cell>
          <cell r="I604">
            <v>13.839922435325898</v>
          </cell>
          <cell r="J604">
            <v>4.6227252277786501</v>
          </cell>
        </row>
        <row r="605">
          <cell r="B605" t="str">
            <v>G-INTC-IMP00-DE</v>
          </cell>
          <cell r="C605" t="str">
            <v>VAR_ncap</v>
          </cell>
          <cell r="D605" t="str">
            <v>-</v>
          </cell>
          <cell r="E605">
            <v>4.7554293709523596E-6</v>
          </cell>
          <cell r="F605">
            <v>4.4701228355667003E-6</v>
          </cell>
          <cell r="G605">
            <v>5.80089430929857E-6</v>
          </cell>
          <cell r="H605">
            <v>6.1469246729152497E-6</v>
          </cell>
          <cell r="I605">
            <v>7.9479752745730693E-6</v>
          </cell>
          <cell r="J605">
            <v>1.3402412644029701E-5</v>
          </cell>
        </row>
        <row r="606">
          <cell r="B606" t="str">
            <v>G-INTC-IMP00-DE</v>
          </cell>
          <cell r="C606" t="str">
            <v>VAR_cap</v>
          </cell>
          <cell r="D606" t="str">
            <v>-</v>
          </cell>
          <cell r="E606">
            <v>1.9321970456461701</v>
          </cell>
          <cell r="F606">
            <v>1.9314938808012603</v>
          </cell>
          <cell r="G606">
            <v>1.9314808994297601</v>
          </cell>
          <cell r="H606">
            <v>1.9314779150923393</v>
          </cell>
          <cell r="I606">
            <v>1.8382134802084689</v>
          </cell>
          <cell r="J606">
            <v>0.92943561401887997</v>
          </cell>
        </row>
        <row r="607">
          <cell r="B607" t="str">
            <v>RHEM-SHSTG-CHPWOD</v>
          </cell>
          <cell r="C607" t="str">
            <v>VAR_fout</v>
          </cell>
          <cell r="D607" t="str">
            <v>AUX_REM-CHPWOD_OUT</v>
          </cell>
          <cell r="E607">
            <v>1.1440256489000712E-3</v>
          </cell>
          <cell r="F607">
            <v>8.1876551499238538E-4</v>
          </cell>
          <cell r="G607">
            <v>4.5931218497449804E-4</v>
          </cell>
          <cell r="H607">
            <v>1.3752927280987924E-3</v>
          </cell>
          <cell r="I607">
            <v>1.4446299454571442E-2</v>
          </cell>
          <cell r="J607">
            <v>1.005683565822366E-2</v>
          </cell>
        </row>
        <row r="608">
          <cell r="B608" t="str">
            <v>RHEM-SHSTG-CHPWOD</v>
          </cell>
          <cell r="C608" t="str">
            <v>VAR_fout</v>
          </cell>
          <cell r="D608" t="str">
            <v>RHEM_LTH_CHPWOD</v>
          </cell>
          <cell r="E608">
            <v>1.1440256489000681E-3</v>
          </cell>
          <cell r="F608">
            <v>8.1931135866904485E-4</v>
          </cell>
          <cell r="G608">
            <v>4.5979063516717955E-4</v>
          </cell>
          <cell r="H608">
            <v>1.3752927280987924E-3</v>
          </cell>
          <cell r="I608">
            <v>1.4446299454571401E-2</v>
          </cell>
          <cell r="J608">
            <v>1.0056835658223653E-2</v>
          </cell>
        </row>
        <row r="609">
          <cell r="B609" t="str">
            <v>RHEM-SHSTG-CHPWOD</v>
          </cell>
          <cell r="C609" t="str">
            <v>VAR_fin</v>
          </cell>
          <cell r="D609" t="str">
            <v>AUX_REM-CHPWOD_IN</v>
          </cell>
          <cell r="E609">
            <v>8.9312806440855865E-4</v>
          </cell>
          <cell r="F609">
            <v>5.7858567246372495E-4</v>
          </cell>
          <cell r="G609">
            <v>3.6633536715951982E-4</v>
          </cell>
          <cell r="H609">
            <v>1.7261581813513484E-3</v>
          </cell>
          <cell r="I609">
            <v>1.7002721142795999E-2</v>
          </cell>
          <cell r="J609">
            <v>1.1181569769316894E-2</v>
          </cell>
        </row>
        <row r="610">
          <cell r="B610" t="str">
            <v>RHEM-SHSTG-CHPWOD</v>
          </cell>
          <cell r="C610" t="str">
            <v>VAR_fin</v>
          </cell>
          <cell r="D610" t="str">
            <v>RHEM_LTH_CHPWOD</v>
          </cell>
          <cell r="E610">
            <v>8.9312806440855865E-4</v>
          </cell>
          <cell r="F610">
            <v>5.7858567246372495E-4</v>
          </cell>
          <cell r="G610">
            <v>3.6633536715951982E-4</v>
          </cell>
          <cell r="H610">
            <v>1.7261581813513484E-3</v>
          </cell>
          <cell r="I610">
            <v>1.7002721142795999E-2</v>
          </cell>
          <cell r="J610">
            <v>1.1181569769316894E-2</v>
          </cell>
        </row>
        <row r="611">
          <cell r="B611" t="str">
            <v>RHEM-SHSTG-CHPWOD</v>
          </cell>
          <cell r="C611" t="str">
            <v>VAR_ncap</v>
          </cell>
          <cell r="D611" t="str">
            <v>-</v>
          </cell>
          <cell r="E611">
            <v>6.7529740110043096E-3</v>
          </cell>
          <cell r="F611">
            <v>1.5202442294217199E-4</v>
          </cell>
          <cell r="G611">
            <v>2.0940292642915699E-4</v>
          </cell>
          <cell r="H611">
            <v>2.4345556443040601E-4</v>
          </cell>
          <cell r="I611">
            <v>1.99394223473036E-3</v>
          </cell>
          <cell r="J611">
            <v>6.60831076132039E-4</v>
          </cell>
        </row>
        <row r="612">
          <cell r="B612" t="str">
            <v>RHEM-SHSTG-CHPWOD</v>
          </cell>
          <cell r="C612" t="str">
            <v>VAR_cap</v>
          </cell>
          <cell r="D612" t="str">
            <v>-</v>
          </cell>
          <cell r="E612">
            <v>6.7529740110043096E-3</v>
          </cell>
          <cell r="F612">
            <v>6.8860108039427289E-3</v>
          </cell>
          <cell r="G612">
            <v>7.0448363063630171E-3</v>
          </cell>
          <cell r="H612">
            <v>7.2143780588402456E-3</v>
          </cell>
          <cell r="I612">
            <v>1.2595450056237002E-2</v>
          </cell>
          <cell r="J612">
            <v>6.4680761656139042E-3</v>
          </cell>
        </row>
        <row r="613">
          <cell r="B613" t="str">
            <v>G-INTC-EXP00-FR</v>
          </cell>
          <cell r="C613" t="str">
            <v>VAR_fout</v>
          </cell>
          <cell r="D613" t="str">
            <v>ELC_E-FR</v>
          </cell>
          <cell r="E613">
            <v>12.753379119069592</v>
          </cell>
          <cell r="F613">
            <v>2.0637551105677472E-3</v>
          </cell>
          <cell r="G613">
            <v>2.0182439058539026E-3</v>
          </cell>
          <cell r="H613">
            <v>9.8898972246776987E-4</v>
          </cell>
          <cell r="I613">
            <v>6.9597649965831739E-3</v>
          </cell>
          <cell r="J613">
            <v>5.7678816804000894E-3</v>
          </cell>
        </row>
        <row r="614">
          <cell r="B614" t="str">
            <v>G-INTC-EXP00-FR</v>
          </cell>
          <cell r="C614" t="str">
            <v>VAR_fin</v>
          </cell>
          <cell r="D614" t="str">
            <v>ELC</v>
          </cell>
          <cell r="E614">
            <v>12.753379119069592</v>
          </cell>
          <cell r="F614">
            <v>2.0637551105677472E-3</v>
          </cell>
          <cell r="G614">
            <v>2.0182439058539026E-3</v>
          </cell>
          <cell r="H614">
            <v>9.8898972246776987E-4</v>
          </cell>
          <cell r="I614">
            <v>6.9597649965831739E-3</v>
          </cell>
          <cell r="J614">
            <v>5.7678816804000894E-3</v>
          </cell>
        </row>
        <row r="615">
          <cell r="B615" t="str">
            <v>G-INTC-EXP00-FR</v>
          </cell>
          <cell r="C615" t="str">
            <v>VAR_ncap</v>
          </cell>
          <cell r="D615" t="str">
            <v>-</v>
          </cell>
          <cell r="E615">
            <v>4.75016816239616E-6</v>
          </cell>
          <cell r="F615">
            <v>4.9077017401791801E-6</v>
          </cell>
          <cell r="G615">
            <v>7.9471443745997696E-6</v>
          </cell>
          <cell r="H615">
            <v>3.6576708203656597E-5</v>
          </cell>
          <cell r="I615">
            <v>6.4972975838263999E-6</v>
          </cell>
          <cell r="J615">
            <v>1.0003546087593801E-5</v>
          </cell>
        </row>
        <row r="616">
          <cell r="B616" t="str">
            <v>G-INTC-EXP00-FR</v>
          </cell>
          <cell r="C616" t="str">
            <v>VAR_cap</v>
          </cell>
          <cell r="D616" t="str">
            <v>-</v>
          </cell>
          <cell r="E616">
            <v>1.2999876207461096</v>
          </cell>
          <cell r="F616">
            <v>3.4427679222199803E-3</v>
          </cell>
          <cell r="G616">
            <v>3.4330344400701485E-3</v>
          </cell>
          <cell r="H616">
            <v>3.4331284707789234E-3</v>
          </cell>
          <cell r="I616">
            <v>3.4670112801509223E-3</v>
          </cell>
          <cell r="J616">
            <v>3.4683595426761027E-3</v>
          </cell>
        </row>
        <row r="617">
          <cell r="B617" t="str">
            <v>RHNM-EBAT</v>
          </cell>
          <cell r="C617" t="str">
            <v>VAR_fout</v>
          </cell>
          <cell r="D617" t="str">
            <v>RHNM_ELC</v>
          </cell>
          <cell r="E617">
            <v>3.5191336236875832E-3</v>
          </cell>
          <cell r="F617">
            <v>3.499241988493695E-3</v>
          </cell>
          <cell r="G617">
            <v>3.5127533099210116E-3</v>
          </cell>
          <cell r="H617">
            <v>6.5282118041011694E-2</v>
          </cell>
          <cell r="I617">
            <v>4.2654785989362218E-2</v>
          </cell>
          <cell r="J617">
            <v>3.2050224988071169E-2</v>
          </cell>
        </row>
        <row r="618">
          <cell r="B618" t="str">
            <v>RHNM-EBAT</v>
          </cell>
          <cell r="C618" t="str">
            <v>VAR_fout</v>
          </cell>
          <cell r="D618" t="str">
            <v>AUX_RHNM-EBAT_OUT</v>
          </cell>
          <cell r="E618">
            <v>3.5191336236875862E-3</v>
          </cell>
          <cell r="F618">
            <v>3.4992419884936968E-3</v>
          </cell>
          <cell r="G618">
            <v>3.5127533099210159E-3</v>
          </cell>
          <cell r="H618">
            <v>6.5282118041011764E-2</v>
          </cell>
          <cell r="I618">
            <v>4.2654785989362259E-2</v>
          </cell>
          <cell r="J618">
            <v>3.2050224988071183E-2</v>
          </cell>
        </row>
        <row r="619">
          <cell r="B619" t="str">
            <v>RHNM-EBAT</v>
          </cell>
          <cell r="C619" t="str">
            <v>VAR_fin</v>
          </cell>
          <cell r="D619" t="str">
            <v>RHNM_ELC</v>
          </cell>
          <cell r="E619">
            <v>3.9229849716667254E-3</v>
          </cell>
          <cell r="F619">
            <v>3.895626339016228E-3</v>
          </cell>
          <cell r="G619">
            <v>3.8887330402053422E-3</v>
          </cell>
          <cell r="H619">
            <v>7.219927683141969E-2</v>
          </cell>
          <cell r="I619">
            <v>4.717289342822692E-2</v>
          </cell>
          <cell r="J619">
            <v>3.5445682736040443E-2</v>
          </cell>
        </row>
        <row r="620">
          <cell r="B620" t="str">
            <v>RHNM-EBAT</v>
          </cell>
          <cell r="C620" t="str">
            <v>VAR_fin</v>
          </cell>
          <cell r="D620" t="str">
            <v>AUX_RHNM-EBAT_IN</v>
          </cell>
          <cell r="E620">
            <v>3.9229849716667254E-3</v>
          </cell>
          <cell r="F620">
            <v>3.895626339016228E-3</v>
          </cell>
          <cell r="G620">
            <v>3.8887330402053422E-3</v>
          </cell>
          <cell r="H620">
            <v>7.219927683141969E-2</v>
          </cell>
          <cell r="I620">
            <v>4.717289342822692E-2</v>
          </cell>
          <cell r="J620">
            <v>3.5445682736040443E-2</v>
          </cell>
        </row>
        <row r="621">
          <cell r="B621" t="str">
            <v>RHNM-EBAT</v>
          </cell>
          <cell r="C621" t="str">
            <v>VAR_ncap</v>
          </cell>
          <cell r="D621" t="str">
            <v>-</v>
          </cell>
          <cell r="E621">
            <v>1.4338063965473201E-3</v>
          </cell>
          <cell r="F621">
            <v>2.2480190784358E-6</v>
          </cell>
          <cell r="G621">
            <v>6.6140210333097397E-6</v>
          </cell>
          <cell r="H621">
            <v>2.5684952077414201E-2</v>
          </cell>
          <cell r="I621">
            <v>2.3137733417191698E-2</v>
          </cell>
          <cell r="J621">
            <v>3.5568006611745402E-3</v>
          </cell>
        </row>
        <row r="622">
          <cell r="B622" t="str">
            <v>RHNM-EBAT</v>
          </cell>
          <cell r="C622" t="str">
            <v>VAR_cap</v>
          </cell>
          <cell r="D622" t="str">
            <v>-</v>
          </cell>
          <cell r="E622">
            <v>1.4363869472545133E-3</v>
          </cell>
          <cell r="F622">
            <v>1.4378883171792377E-3</v>
          </cell>
          <cell r="G622">
            <v>1.4431153037629423E-3</v>
          </cell>
          <cell r="H622">
            <v>2.6740253135852574E-2</v>
          </cell>
          <cell r="I622">
            <v>2.9400523641193207E-2</v>
          </cell>
          <cell r="J622">
            <v>1.5460529130485618E-2</v>
          </cell>
        </row>
        <row r="623">
          <cell r="B623" t="str">
            <v>ITOT-CHPWST</v>
          </cell>
          <cell r="C623" t="str">
            <v>VAR_fout</v>
          </cell>
          <cell r="D623" t="str">
            <v>ITOT_LTH_CHP</v>
          </cell>
          <cell r="E623">
            <v>1.9349823650994484</v>
          </cell>
          <cell r="F623">
            <v>1.9462973256983322</v>
          </cell>
          <cell r="G623">
            <v>2.5503239676239566</v>
          </cell>
          <cell r="H623">
            <v>2.4035966394998383</v>
          </cell>
          <cell r="I623">
            <v>1.5323042464467826</v>
          </cell>
          <cell r="J623">
            <v>3.5492607876950712E-4</v>
          </cell>
        </row>
        <row r="624">
          <cell r="B624" t="str">
            <v>ITOT-CHPWST</v>
          </cell>
          <cell r="C624" t="str">
            <v>VAR_fout</v>
          </cell>
          <cell r="D624" t="str">
            <v>ITOT_KEV_WST_ELC_CHP</v>
          </cell>
          <cell r="E624">
            <v>0.23006411615488517</v>
          </cell>
          <cell r="F624">
            <v>0.24099578136420541</v>
          </cell>
          <cell r="G624">
            <v>0.33671081850772255</v>
          </cell>
          <cell r="H624">
            <v>0.35673153457826035</v>
          </cell>
          <cell r="I624">
            <v>0.30252566007333681</v>
          </cell>
          <cell r="J624">
            <v>1.0462859809304794E-4</v>
          </cell>
        </row>
        <row r="625">
          <cell r="B625" t="str">
            <v>ITOT-CHPWST</v>
          </cell>
          <cell r="C625" t="str">
            <v>VAR_fout</v>
          </cell>
          <cell r="D625" t="str">
            <v>CO2_I</v>
          </cell>
          <cell r="E625">
            <v>344.47513327425202</v>
          </cell>
          <cell r="F625">
            <v>360.86756951673101</v>
          </cell>
          <cell r="G625">
            <v>504.20247756800302</v>
          </cell>
          <cell r="H625">
            <v>534.18219336742095</v>
          </cell>
          <cell r="I625">
            <v>453.01243367496198</v>
          </cell>
          <cell r="J625">
            <v>0.156674497768689</v>
          </cell>
        </row>
        <row r="626">
          <cell r="B626" t="str">
            <v>ITOT-CHPWST</v>
          </cell>
          <cell r="C626" t="str">
            <v>VAR_fin</v>
          </cell>
          <cell r="D626" t="str">
            <v>IWST</v>
          </cell>
          <cell r="E626">
            <v>3.7120165223518544</v>
          </cell>
          <cell r="F626">
            <v>3.8886591542751177</v>
          </cell>
          <cell r="G626">
            <v>5.4332163531034778</v>
          </cell>
          <cell r="H626">
            <v>5.7562736354247885</v>
          </cell>
          <cell r="I626">
            <v>4.8815995008077842</v>
          </cell>
          <cell r="J626">
            <v>1.6883027776798361E-3</v>
          </cell>
        </row>
        <row r="627">
          <cell r="B627" t="str">
            <v>ITOT-CHPWST</v>
          </cell>
          <cell r="C627" t="str">
            <v>VAR_ncap</v>
          </cell>
          <cell r="D627" t="str">
            <v>-</v>
          </cell>
          <cell r="F627">
            <v>1.0369297690847701E-6</v>
          </cell>
          <cell r="G627">
            <v>1.67229214861707E-6</v>
          </cell>
          <cell r="H627">
            <v>2.4619047450644598E-3</v>
          </cell>
          <cell r="I627">
            <v>1.50275001750891E-6</v>
          </cell>
          <cell r="J627">
            <v>1.01212898757871E-7</v>
          </cell>
        </row>
        <row r="628">
          <cell r="B628" t="str">
            <v>ITOT-CHPWST</v>
          </cell>
          <cell r="C628" t="str">
            <v>VAR_cap</v>
          </cell>
          <cell r="D628" t="str">
            <v>-</v>
          </cell>
          <cell r="E628">
            <v>4.7938473512894611E-2</v>
          </cell>
          <cell r="F628">
            <v>1.3840356207507287E-2</v>
          </cell>
          <cell r="G628">
            <v>1.3839593737357304E-2</v>
          </cell>
          <cell r="H628">
            <v>1.4518646510080956E-2</v>
          </cell>
          <cell r="I628">
            <v>1.4529302276711616E-2</v>
          </cell>
          <cell r="J628">
            <v>2.1970507821576953E-4</v>
          </cell>
        </row>
        <row r="629">
          <cell r="B629" t="str">
            <v>CAES-EBAT</v>
          </cell>
          <cell r="C629" t="str">
            <v>VAR_fout</v>
          </cell>
          <cell r="D629" t="str">
            <v>ELC13</v>
          </cell>
          <cell r="E629">
            <v>9.4756414824528262E-2</v>
          </cell>
          <cell r="F629">
            <v>1.394258850241374E-2</v>
          </cell>
          <cell r="G629">
            <v>9.4479564162516752E-2</v>
          </cell>
          <cell r="H629">
            <v>9.4502053482509882E-2</v>
          </cell>
          <cell r="I629">
            <v>3.9507100699995745E-2</v>
          </cell>
          <cell r="J629">
            <v>2.2110939755479751E-2</v>
          </cell>
        </row>
        <row r="630">
          <cell r="B630" t="str">
            <v>CAES-EBAT</v>
          </cell>
          <cell r="C630" t="str">
            <v>VAR_fout</v>
          </cell>
          <cell r="D630" t="str">
            <v>AUX_CAES_OUT</v>
          </cell>
          <cell r="E630">
            <v>9.4756414824528179E-2</v>
          </cell>
          <cell r="F630">
            <v>1.3942588502413736E-2</v>
          </cell>
          <cell r="G630">
            <v>9.4479564162516641E-2</v>
          </cell>
          <cell r="H630">
            <v>9.4502053482509799E-2</v>
          </cell>
          <cell r="I630">
            <v>3.9507100699995704E-2</v>
          </cell>
          <cell r="J630">
            <v>2.2110939755479734E-2</v>
          </cell>
        </row>
        <row r="631">
          <cell r="B631" t="str">
            <v>CAES-EBAT</v>
          </cell>
          <cell r="C631" t="str">
            <v>VAR_fin</v>
          </cell>
          <cell r="D631" t="str">
            <v>ELC13</v>
          </cell>
          <cell r="E631">
            <v>0.13542890504206842</v>
          </cell>
          <cell r="F631">
            <v>1.9950774150767289E-2</v>
          </cell>
          <cell r="G631">
            <v>0.13497344688645951</v>
          </cell>
          <cell r="H631">
            <v>0.13501302705773435</v>
          </cell>
          <cell r="I631">
            <v>5.6451826708826321E-2</v>
          </cell>
          <cell r="J631">
            <v>3.1595868303067244E-2</v>
          </cell>
        </row>
        <row r="632">
          <cell r="B632" t="str">
            <v>CAES-EBAT</v>
          </cell>
          <cell r="C632" t="str">
            <v>VAR_fin</v>
          </cell>
          <cell r="D632" t="str">
            <v>AUX_CAES_IN</v>
          </cell>
          <cell r="E632">
            <v>0.13542890504206842</v>
          </cell>
          <cell r="F632">
            <v>1.9950774150767289E-2</v>
          </cell>
          <cell r="G632">
            <v>0.13497344688645951</v>
          </cell>
          <cell r="H632">
            <v>0.13501302705773435</v>
          </cell>
          <cell r="I632">
            <v>5.6451826708826321E-2</v>
          </cell>
          <cell r="J632">
            <v>3.1595868303067244E-2</v>
          </cell>
        </row>
        <row r="633">
          <cell r="B633" t="str">
            <v>CAES-EBAT</v>
          </cell>
          <cell r="C633" t="str">
            <v>VAR_ncap</v>
          </cell>
          <cell r="D633" t="str">
            <v>-</v>
          </cell>
          <cell r="F633">
            <v>1.13470270115798E-6</v>
          </cell>
          <cell r="G633">
            <v>1.2237118814970701E-6</v>
          </cell>
          <cell r="H633">
            <v>1.2964934863810201E-6</v>
          </cell>
          <cell r="I633">
            <v>2.00775105235547E-6</v>
          </cell>
          <cell r="J633">
            <v>1.31915888336905E-6</v>
          </cell>
        </row>
        <row r="634">
          <cell r="B634" t="str">
            <v>CAES-EBAT</v>
          </cell>
          <cell r="C634" t="str">
            <v>VAR_cap</v>
          </cell>
          <cell r="D634" t="str">
            <v>-</v>
          </cell>
          <cell r="E634">
            <v>0.1</v>
          </cell>
          <cell r="F634">
            <v>9.9996673232420646E-2</v>
          </cell>
          <cell r="G634">
            <v>9.9996224530244149E-2</v>
          </cell>
          <cell r="H634">
            <v>9.9996285104096083E-2</v>
          </cell>
          <cell r="I634">
            <v>9.9997825392235951E-2</v>
          </cell>
          <cell r="J634">
            <v>9.9998251792167175E-2</v>
          </cell>
        </row>
        <row r="635">
          <cell r="B635" t="str">
            <v>HPLSOL</v>
          </cell>
          <cell r="C635" t="str">
            <v>VAR_fout</v>
          </cell>
          <cell r="D635" t="str">
            <v>LTH</v>
          </cell>
          <cell r="H635">
            <v>2.3251501604268897E-4</v>
          </cell>
          <cell r="I635">
            <v>2.2991150239899636E-4</v>
          </cell>
          <cell r="J635">
            <v>2.3206238128404974E-4</v>
          </cell>
        </row>
        <row r="636">
          <cell r="B636" t="str">
            <v>HPLSOL</v>
          </cell>
          <cell r="C636" t="str">
            <v>VAR_fin</v>
          </cell>
          <cell r="D636" t="str">
            <v>SOL</v>
          </cell>
          <cell r="H636">
            <v>2.3251501604268897E-4</v>
          </cell>
          <cell r="I636">
            <v>2.2991150239899636E-4</v>
          </cell>
          <cell r="J636">
            <v>2.3206238128404974E-4</v>
          </cell>
        </row>
        <row r="637">
          <cell r="B637" t="str">
            <v>HPLSOL</v>
          </cell>
          <cell r="C637" t="str">
            <v>VAR_fin</v>
          </cell>
          <cell r="D637" t="str">
            <v>SOLPVC</v>
          </cell>
          <cell r="H637">
            <v>2.3251501604268899E-4</v>
          </cell>
          <cell r="I637">
            <v>2.2991150239899601E-4</v>
          </cell>
          <cell r="J637">
            <v>2.3206238128404999E-4</v>
          </cell>
        </row>
        <row r="638">
          <cell r="B638" t="str">
            <v>HPLSOL</v>
          </cell>
          <cell r="C638" t="str">
            <v>VAR_ncap</v>
          </cell>
          <cell r="D638" t="str">
            <v>-</v>
          </cell>
          <cell r="H638">
            <v>4.2622949600658997E-5</v>
          </cell>
          <cell r="I638">
            <v>9.5756044609173794E-7</v>
          </cell>
          <cell r="J638">
            <v>2.4656327355249799E-5</v>
          </cell>
        </row>
        <row r="639">
          <cell r="B639" t="str">
            <v>HPLSOL</v>
          </cell>
          <cell r="C639" t="str">
            <v>VAR_cap</v>
          </cell>
          <cell r="D639" t="str">
            <v>-</v>
          </cell>
          <cell r="H639">
            <v>4.2622949600658997E-5</v>
          </cell>
          <cell r="I639">
            <v>4.9649595499319701E-5</v>
          </cell>
          <cell r="J639">
            <v>4.1533602602367301E-5</v>
          </cell>
        </row>
        <row r="640">
          <cell r="B640" t="str">
            <v>RHEM-CHPNGA</v>
          </cell>
          <cell r="C640" t="str">
            <v>VAR_fout</v>
          </cell>
          <cell r="D640" t="str">
            <v>CO2_R</v>
          </cell>
          <cell r="E640">
            <v>8.2160917387975605</v>
          </cell>
          <cell r="F640">
            <v>1.0256724441578899</v>
          </cell>
          <cell r="G640">
            <v>3.3253314845060902</v>
          </cell>
          <cell r="H640">
            <v>1.01988947982891</v>
          </cell>
          <cell r="I640">
            <v>1.4009223594331801</v>
          </cell>
        </row>
        <row r="641">
          <cell r="B641" t="str">
            <v>RHEM-CHPNGA</v>
          </cell>
          <cell r="C641" t="str">
            <v>VAR_fout</v>
          </cell>
          <cell r="D641" t="str">
            <v>RHEM_LTH_CHPNGA</v>
          </cell>
          <cell r="E641">
            <v>6.4768569496178194E-2</v>
          </cell>
          <cell r="F641">
            <v>1.1179161727757105E-2</v>
          </cell>
          <cell r="G641">
            <v>3.1965434061556303E-2</v>
          </cell>
          <cell r="H641">
            <v>1.0824233976387682E-2</v>
          </cell>
          <cell r="I641">
            <v>1.4896365351562121E-2</v>
          </cell>
        </row>
        <row r="642">
          <cell r="B642" t="str">
            <v>RHEM-CHPNGA</v>
          </cell>
          <cell r="C642" t="str">
            <v>VAR_fout</v>
          </cell>
          <cell r="D642" t="str">
            <v>RHEM_NKEV_GAS_ELC_CHP</v>
          </cell>
          <cell r="E642">
            <v>2.9814103418875665E-2</v>
          </cell>
          <cell r="F642">
            <v>5.1965541264953358E-3</v>
          </cell>
          <cell r="G642">
            <v>1.5081305658109509E-2</v>
          </cell>
          <cell r="H642">
            <v>5.2375325692198393E-3</v>
          </cell>
          <cell r="I642">
            <v>7.3876283450836589E-3</v>
          </cell>
        </row>
        <row r="643">
          <cell r="B643" t="str">
            <v>RHEM-CHPNGA</v>
          </cell>
          <cell r="C643" t="str">
            <v>VAR_fin</v>
          </cell>
          <cell r="D643" t="str">
            <v>RNGA</v>
          </cell>
          <cell r="E643">
            <v>0.14567538543967304</v>
          </cell>
          <cell r="F643">
            <v>1.8185681634005125E-2</v>
          </cell>
          <cell r="G643">
            <v>5.8959778094079575E-2</v>
          </cell>
          <cell r="H643">
            <v>1.8083146805477013E-2</v>
          </cell>
          <cell r="I643">
            <v>2.4839048926120304E-2</v>
          </cell>
        </row>
        <row r="644">
          <cell r="B644" t="str">
            <v>RHEM-CHPNGA</v>
          </cell>
          <cell r="C644" t="str">
            <v>VAR_ncap</v>
          </cell>
          <cell r="D644" t="str">
            <v>-</v>
          </cell>
          <cell r="F644">
            <v>2.57267964156713E-5</v>
          </cell>
        </row>
        <row r="645">
          <cell r="B645" t="str">
            <v>RHEM-CHPNGA</v>
          </cell>
          <cell r="C645" t="str">
            <v>VAR_cap</v>
          </cell>
          <cell r="D645" t="str">
            <v>-</v>
          </cell>
          <cell r="E645">
            <v>8.802762795919631E-3</v>
          </cell>
          <cell r="F645">
            <v>1.5633457710586031E-3</v>
          </cell>
          <cell r="G645">
            <v>1.560891163677392E-3</v>
          </cell>
          <cell r="H645">
            <v>1.5576064131070724E-3</v>
          </cell>
          <cell r="I645">
            <v>5.4904898763158275E-4</v>
          </cell>
        </row>
        <row r="646">
          <cell r="B646" t="str">
            <v>D-DH2</v>
          </cell>
          <cell r="C646" t="str">
            <v>VAR_fout</v>
          </cell>
          <cell r="D646" t="str">
            <v>H2</v>
          </cell>
          <cell r="H646">
            <v>2.6046226369936695E-2</v>
          </cell>
          <cell r="I646">
            <v>12.523242578350846</v>
          </cell>
          <cell r="J646">
            <v>29.089159303822051</v>
          </cell>
        </row>
        <row r="647">
          <cell r="B647" t="str">
            <v>D-DH2</v>
          </cell>
          <cell r="C647" t="str">
            <v>VAR_fin</v>
          </cell>
          <cell r="D647" t="str">
            <v>H2_E</v>
          </cell>
          <cell r="H647">
            <v>2.6309319565592609E-2</v>
          </cell>
          <cell r="I647">
            <v>12.649739978132168</v>
          </cell>
          <cell r="J647">
            <v>29.382989195779849</v>
          </cell>
        </row>
        <row r="648">
          <cell r="B648" t="str">
            <v>D-DH2</v>
          </cell>
          <cell r="C648" t="str">
            <v>VAR_ncap</v>
          </cell>
          <cell r="D648" t="str">
            <v>-</v>
          </cell>
          <cell r="H648">
            <v>3.5087113514596598E-3</v>
          </cell>
          <cell r="I648">
            <v>1.39165064422816</v>
          </cell>
          <cell r="J648">
            <v>2.2246583217234401</v>
          </cell>
        </row>
        <row r="649">
          <cell r="B649" t="str">
            <v>D-DH2</v>
          </cell>
          <cell r="C649" t="str">
            <v>VAR_cap</v>
          </cell>
          <cell r="D649" t="str">
            <v>-</v>
          </cell>
          <cell r="H649">
            <v>3.5087113514596598E-3</v>
          </cell>
          <cell r="I649">
            <v>1.6818156399286099</v>
          </cell>
          <cell r="J649">
            <v>3.9064739616520598</v>
          </cell>
        </row>
        <row r="650">
          <cell r="B650" t="str">
            <v>D-SBIO</v>
          </cell>
          <cell r="C650" t="str">
            <v>VAR_fout</v>
          </cell>
          <cell r="D650" t="str">
            <v>SBIO</v>
          </cell>
          <cell r="E650">
            <v>4.0477231290520583</v>
          </cell>
          <cell r="F650">
            <v>4.584380308835553</v>
          </cell>
          <cell r="G650">
            <v>3.0479949188832305</v>
          </cell>
          <cell r="H650">
            <v>3.0329002079491518</v>
          </cell>
          <cell r="I650">
            <v>2.9504900244446941</v>
          </cell>
          <cell r="J650">
            <v>2.8933256683265012</v>
          </cell>
        </row>
        <row r="651">
          <cell r="B651" t="str">
            <v>D-SBIO</v>
          </cell>
          <cell r="C651" t="str">
            <v>VAR_fin</v>
          </cell>
          <cell r="D651" t="str">
            <v>BIO</v>
          </cell>
          <cell r="E651">
            <v>4.0477231290520583</v>
          </cell>
          <cell r="F651">
            <v>4.584380308835553</v>
          </cell>
          <cell r="G651">
            <v>3.0479949188832305</v>
          </cell>
          <cell r="H651">
            <v>3.0329002079491518</v>
          </cell>
          <cell r="I651">
            <v>2.9504900244446941</v>
          </cell>
          <cell r="J651">
            <v>2.8933256683265012</v>
          </cell>
        </row>
        <row r="652">
          <cell r="B652" t="str">
            <v>SCOM-CHPBIO</v>
          </cell>
          <cell r="C652" t="str">
            <v>VAR_fout</v>
          </cell>
          <cell r="D652" t="str">
            <v>SCOM_LTH_CHPBIO</v>
          </cell>
          <cell r="E652">
            <v>1.4243540298057575</v>
          </cell>
          <cell r="F652">
            <v>1.5785045175867487</v>
          </cell>
          <cell r="G652">
            <v>1.4830819010325693</v>
          </cell>
          <cell r="H652">
            <v>1.3240646587309111</v>
          </cell>
          <cell r="I652">
            <v>1.0060404408759995</v>
          </cell>
          <cell r="J652">
            <v>1.0060388665790938</v>
          </cell>
        </row>
        <row r="653">
          <cell r="B653" t="str">
            <v>SCOM-CHPBIO</v>
          </cell>
          <cell r="C653" t="str">
            <v>VAR_fout</v>
          </cell>
          <cell r="D653" t="str">
            <v>SCOM_KEV_BIO_ELC_CHP</v>
          </cell>
          <cell r="E653">
            <v>0.95939536569076544</v>
          </cell>
          <cell r="F653">
            <v>1.1060703167322454</v>
          </cell>
          <cell r="G653">
            <v>1.1060629396198327</v>
          </cell>
          <cell r="H653">
            <v>1.1060657494448614</v>
          </cell>
          <cell r="I653">
            <v>1.106084943625381</v>
          </cell>
          <cell r="J653">
            <v>1.1060832127743803</v>
          </cell>
        </row>
        <row r="654">
          <cell r="B654" t="str">
            <v>SCOM-CHPBIO</v>
          </cell>
          <cell r="C654" t="str">
            <v>VAR_fin</v>
          </cell>
          <cell r="D654" t="str">
            <v>SBIO</v>
          </cell>
          <cell r="E654">
            <v>2.6454256908119804</v>
          </cell>
          <cell r="F654">
            <v>3.0471318569535377</v>
          </cell>
          <cell r="G654">
            <v>3.0479949188832305</v>
          </cell>
          <cell r="H654">
            <v>3.0329002079491518</v>
          </cell>
          <cell r="I654">
            <v>2.9504900244446941</v>
          </cell>
          <cell r="J654">
            <v>2.8933256683265012</v>
          </cell>
        </row>
        <row r="655">
          <cell r="B655" t="str">
            <v>SCOM-CHPBIO</v>
          </cell>
          <cell r="C655" t="str">
            <v>VAR_ncap</v>
          </cell>
          <cell r="D655" t="str">
            <v>-</v>
          </cell>
          <cell r="F655">
            <v>2.6200143869071699E-2</v>
          </cell>
          <cell r="G655">
            <v>6.5710843749053798E-3</v>
          </cell>
          <cell r="H655">
            <v>1.22443893067879E-2</v>
          </cell>
          <cell r="I655">
            <v>9.1093336318096699E-2</v>
          </cell>
          <cell r="J655">
            <v>7.8555601205529499E-6</v>
          </cell>
        </row>
        <row r="656">
          <cell r="B656" t="str">
            <v>SCOM-CHPBIO</v>
          </cell>
          <cell r="C656" t="str">
            <v>VAR_cap</v>
          </cell>
          <cell r="D656" t="str">
            <v>-</v>
          </cell>
          <cell r="E656">
            <v>7.3511680318082112E-2</v>
          </cell>
          <cell r="F656">
            <v>8.4755074678503697E-2</v>
          </cell>
          <cell r="G656">
            <v>8.475449682011417E-2</v>
          </cell>
          <cell r="H656">
            <v>8.4768400899026861E-2</v>
          </cell>
          <cell r="I656">
            <v>0.14468414052706316</v>
          </cell>
          <cell r="J656">
            <v>8.4756116306497417E-2</v>
          </cell>
        </row>
        <row r="657">
          <cell r="B657" t="str">
            <v>SCOM-CHPHFC</v>
          </cell>
          <cell r="C657" t="str">
            <v>VAR_fout</v>
          </cell>
          <cell r="D657" t="str">
            <v>SCOM_KEV_HFC_ELC_CHP</v>
          </cell>
          <cell r="H657">
            <v>1.3305548505381959E-2</v>
          </cell>
          <cell r="I657">
            <v>2.7709417487953237E-2</v>
          </cell>
          <cell r="J657">
            <v>4.6377258384622993E-3</v>
          </cell>
        </row>
        <row r="658">
          <cell r="B658" t="str">
            <v>SCOM-CHPHFC</v>
          </cell>
          <cell r="C658" t="str">
            <v>VAR_fout</v>
          </cell>
          <cell r="D658" t="str">
            <v>SCOM_LTH_CHPHFC</v>
          </cell>
          <cell r="H658">
            <v>1.0014175980366418E-2</v>
          </cell>
          <cell r="I658">
            <v>1.7446670270192789E-2</v>
          </cell>
          <cell r="J658">
            <v>2.6213233000004304E-3</v>
          </cell>
        </row>
        <row r="659">
          <cell r="B659" t="str">
            <v>SCOM-CHPHFC</v>
          </cell>
          <cell r="C659" t="str">
            <v>VAR_fin</v>
          </cell>
          <cell r="D659" t="str">
            <v>RSH2</v>
          </cell>
          <cell r="H659">
            <v>2.801168106396203E-2</v>
          </cell>
          <cell r="I659">
            <v>5.1313736088802311E-2</v>
          </cell>
          <cell r="J659">
            <v>8.0656101538474842E-3</v>
          </cell>
        </row>
        <row r="660">
          <cell r="B660" t="str">
            <v>SCOM-CHPHFC</v>
          </cell>
          <cell r="C660" t="str">
            <v>VAR_ncap</v>
          </cell>
          <cell r="D660" t="str">
            <v>-</v>
          </cell>
          <cell r="H660">
            <v>7.8135884390020298E-4</v>
          </cell>
          <cell r="I660">
            <v>3.6401709696460497E-4</v>
          </cell>
          <cell r="J660">
            <v>9.8012716611920895E-5</v>
          </cell>
        </row>
        <row r="661">
          <cell r="B661" t="str">
            <v>SCOM-CHPHFC</v>
          </cell>
          <cell r="C661" t="str">
            <v>VAR_cap</v>
          </cell>
          <cell r="D661" t="str">
            <v>-</v>
          </cell>
          <cell r="H661">
            <v>7.8135884390020298E-4</v>
          </cell>
          <cell r="I661">
            <v>1.6220252533704501E-3</v>
          </cell>
          <cell r="J661">
            <v>6.6800974326212774E-4</v>
          </cell>
        </row>
        <row r="662">
          <cell r="B662" t="str">
            <v>RHES-EBAT</v>
          </cell>
          <cell r="C662" t="str">
            <v>VAR_fout</v>
          </cell>
          <cell r="D662" t="str">
            <v>RHES_ELC</v>
          </cell>
          <cell r="E662">
            <v>3.5175924778536815E-3</v>
          </cell>
          <cell r="F662">
            <v>3.497722828984137E-3</v>
          </cell>
          <cell r="G662">
            <v>3.5119438539634802E-3</v>
          </cell>
          <cell r="H662">
            <v>6.3351623773171495E-2</v>
          </cell>
          <cell r="I662">
            <v>4.0441960128452907E-2</v>
          </cell>
          <cell r="J662">
            <v>3.1969115799898633E-2</v>
          </cell>
        </row>
        <row r="663">
          <cell r="B663" t="str">
            <v>RHES-EBAT</v>
          </cell>
          <cell r="C663" t="str">
            <v>VAR_fout</v>
          </cell>
          <cell r="D663" t="str">
            <v>AUX_RHES-EBAT_OUT</v>
          </cell>
          <cell r="E663">
            <v>3.5175924778536854E-3</v>
          </cell>
          <cell r="F663">
            <v>3.4977228289841426E-3</v>
          </cell>
          <cell r="G663">
            <v>3.5119438539634833E-3</v>
          </cell>
          <cell r="H663">
            <v>6.3351623773171536E-2</v>
          </cell>
          <cell r="I663">
            <v>4.0441960128452942E-2</v>
          </cell>
          <cell r="J663">
            <v>3.1969115799898647E-2</v>
          </cell>
        </row>
        <row r="664">
          <cell r="B664" t="str">
            <v>RHES-EBAT</v>
          </cell>
          <cell r="C664" t="str">
            <v>VAR_fin</v>
          </cell>
          <cell r="D664" t="str">
            <v>RHES_ELC</v>
          </cell>
          <cell r="E664">
            <v>3.921280672743022E-3</v>
          </cell>
          <cell r="F664">
            <v>3.8939463539945729E-3</v>
          </cell>
          <cell r="G664">
            <v>3.8877007023883896E-3</v>
          </cell>
          <cell r="H664">
            <v>7.0061247387322501E-2</v>
          </cell>
          <cell r="I664">
            <v>4.4725807208167392E-2</v>
          </cell>
          <cell r="J664">
            <v>3.5355986940177241E-2</v>
          </cell>
        </row>
        <row r="665">
          <cell r="B665" t="str">
            <v>RHES-EBAT</v>
          </cell>
          <cell r="C665" t="str">
            <v>VAR_fin</v>
          </cell>
          <cell r="D665" t="str">
            <v>AUX_RHES-EBAT_IN</v>
          </cell>
          <cell r="E665">
            <v>3.921280672743022E-3</v>
          </cell>
          <cell r="F665">
            <v>3.8939463539945729E-3</v>
          </cell>
          <cell r="G665">
            <v>3.8877007023883896E-3</v>
          </cell>
          <cell r="H665">
            <v>7.0061247387322501E-2</v>
          </cell>
          <cell r="I665">
            <v>4.4725807208167392E-2</v>
          </cell>
          <cell r="J665">
            <v>3.5355986940177241E-2</v>
          </cell>
        </row>
        <row r="666">
          <cell r="B666" t="str">
            <v>RHES-EBAT</v>
          </cell>
          <cell r="C666" t="str">
            <v>VAR_ncap</v>
          </cell>
          <cell r="D666" t="str">
            <v>-</v>
          </cell>
          <cell r="E666">
            <v>1.4331557070186799E-3</v>
          </cell>
          <cell r="F666">
            <v>2.2447402779984301E-6</v>
          </cell>
          <cell r="G666">
            <v>6.5571919714518E-6</v>
          </cell>
          <cell r="H666">
            <v>2.4894410769517799E-2</v>
          </cell>
          <cell r="I666">
            <v>2.1316879529087802E-2</v>
          </cell>
          <cell r="J666">
            <v>4.3556281190380401E-3</v>
          </cell>
        </row>
        <row r="667">
          <cell r="B667" t="str">
            <v>RHES-EBAT</v>
          </cell>
          <cell r="C667" t="str">
            <v>VAR_cap</v>
          </cell>
          <cell r="D667" t="str">
            <v>-</v>
          </cell>
          <cell r="E667">
            <v>1.4357362356614402E-3</v>
          </cell>
          <cell r="F667">
            <v>1.4372342755343904E-3</v>
          </cell>
          <cell r="G667">
            <v>1.442404303807199E-3</v>
          </cell>
          <cell r="H667">
            <v>2.5949165685451969E-2</v>
          </cell>
          <cell r="I667">
            <v>2.7877343999889021E-2</v>
          </cell>
          <cell r="J667">
            <v>1.5422998659488962E-2</v>
          </cell>
        </row>
        <row r="668">
          <cell r="B668" t="str">
            <v>D-INGA</v>
          </cell>
          <cell r="C668" t="str">
            <v>VAR_fout</v>
          </cell>
          <cell r="D668" t="str">
            <v>CO2</v>
          </cell>
          <cell r="E668">
            <v>2102.7323354888399</v>
          </cell>
          <cell r="F668">
            <v>1697.0932756622899</v>
          </cell>
          <cell r="G668">
            <v>1605.31530922301</v>
          </cell>
          <cell r="H668">
            <v>1113.6681667369501</v>
          </cell>
          <cell r="I668">
            <v>196.088540311575</v>
          </cell>
          <cell r="J668">
            <v>86.701511827517294</v>
          </cell>
        </row>
        <row r="669">
          <cell r="B669" t="str">
            <v>D-INGA</v>
          </cell>
          <cell r="C669" t="str">
            <v>VAR_fout</v>
          </cell>
          <cell r="D669" t="str">
            <v>IH2</v>
          </cell>
          <cell r="I669">
            <v>0.18278140827376654</v>
          </cell>
          <cell r="J669">
            <v>0.12368861951993831</v>
          </cell>
        </row>
        <row r="670">
          <cell r="B670" t="str">
            <v>D-INGA</v>
          </cell>
          <cell r="C670" t="str">
            <v>VAR_fout</v>
          </cell>
          <cell r="D670" t="str">
            <v>INGA</v>
          </cell>
          <cell r="E670">
            <v>37.489977382904698</v>
          </cell>
          <cell r="F670">
            <v>29.994983228121676</v>
          </cell>
          <cell r="G670">
            <v>29.4654600109602</v>
          </cell>
          <cell r="H670">
            <v>22.113956962733592</v>
          </cell>
          <cell r="I670">
            <v>5.8959722914160295</v>
          </cell>
          <cell r="J670">
            <v>3.9875489527715744</v>
          </cell>
        </row>
        <row r="671">
          <cell r="B671" t="str">
            <v>D-INGA</v>
          </cell>
          <cell r="C671" t="str">
            <v>VAR_fin</v>
          </cell>
          <cell r="D671" t="str">
            <v>NGA</v>
          </cell>
          <cell r="E671">
            <v>37.282488217887249</v>
          </cell>
          <cell r="F671">
            <v>30.09030630606896</v>
          </cell>
          <cell r="G671">
            <v>28.463037397571053</v>
          </cell>
          <cell r="H671">
            <v>19.745889481151583</v>
          </cell>
          <cell r="I671">
            <v>3.4767471686449327</v>
          </cell>
          <cell r="J671">
            <v>1.5372608480056265</v>
          </cell>
        </row>
        <row r="672">
          <cell r="B672" t="str">
            <v>D-INGA</v>
          </cell>
          <cell r="C672" t="str">
            <v>VAR_fin</v>
          </cell>
          <cell r="D672" t="str">
            <v>BNGA</v>
          </cell>
          <cell r="E672">
            <v>0.32725538112089314</v>
          </cell>
          <cell r="F672">
            <v>6.9648348315104946E-4</v>
          </cell>
          <cell r="G672">
            <v>1.0965535491114422</v>
          </cell>
          <cell r="H672">
            <v>2.4389992206746638</v>
          </cell>
          <cell r="I672">
            <v>2.4390041953893684</v>
          </cell>
          <cell r="J672">
            <v>2.4638677176943804</v>
          </cell>
        </row>
        <row r="673">
          <cell r="B673" t="str">
            <v>D-INGA</v>
          </cell>
          <cell r="C673" t="str">
            <v>VAR_fin</v>
          </cell>
          <cell r="D673" t="str">
            <v>H2</v>
          </cell>
          <cell r="I673">
            <v>0.18277679223112911</v>
          </cell>
          <cell r="J673">
            <v>0.1236821526335746</v>
          </cell>
        </row>
        <row r="674">
          <cell r="B674" t="str">
            <v>D-INGA</v>
          </cell>
          <cell r="C674" t="str">
            <v>VAR_ncap</v>
          </cell>
          <cell r="D674" t="str">
            <v>-</v>
          </cell>
          <cell r="E674">
            <v>3.6916874999124601E-6</v>
          </cell>
          <cell r="F674">
            <v>1.4229560395754499E-6</v>
          </cell>
          <cell r="G674">
            <v>1.7283864292622999E-6</v>
          </cell>
          <cell r="H674">
            <v>2.4211930004003902E-6</v>
          </cell>
          <cell r="I674">
            <v>1.3311570209207E-5</v>
          </cell>
          <cell r="J674">
            <v>4.47511270414988E-5</v>
          </cell>
        </row>
        <row r="675">
          <cell r="B675" t="str">
            <v>D-INGA</v>
          </cell>
          <cell r="C675" t="str">
            <v>VAR_cap</v>
          </cell>
          <cell r="D675" t="str">
            <v>-</v>
          </cell>
          <cell r="E675">
            <v>1.9844870619535999</v>
          </cell>
          <cell r="F675">
            <v>1.9844884849096396</v>
          </cell>
          <cell r="G675">
            <v>1.9844902132960687</v>
          </cell>
          <cell r="H675">
            <v>1.9844926344890692</v>
          </cell>
          <cell r="I675">
            <v>1.9845169673326446</v>
          </cell>
          <cell r="J675">
            <v>1.0955377856395059</v>
          </cell>
        </row>
        <row r="676">
          <cell r="B676" t="str">
            <v>EWIND</v>
          </cell>
          <cell r="C676" t="str">
            <v>VAR_fout</v>
          </cell>
          <cell r="D676" t="str">
            <v>ELC35</v>
          </cell>
          <cell r="E676">
            <v>0.52400000000000047</v>
          </cell>
          <cell r="F676">
            <v>0.54529688685681488</v>
          </cell>
          <cell r="G676">
            <v>0.50316948519036375</v>
          </cell>
          <cell r="H676">
            <v>2.0502677777781577</v>
          </cell>
          <cell r="I676">
            <v>7.1993615699640126</v>
          </cell>
          <cell r="J676">
            <v>26.771431294598283</v>
          </cell>
        </row>
        <row r="677">
          <cell r="B677" t="str">
            <v>EWIND</v>
          </cell>
          <cell r="C677" t="str">
            <v>VAR_fin</v>
          </cell>
          <cell r="D677" t="str">
            <v>WND</v>
          </cell>
          <cell r="E677">
            <v>0.52400000000000047</v>
          </cell>
          <cell r="F677">
            <v>0.54529688685681488</v>
          </cell>
          <cell r="G677">
            <v>0.50316948519036375</v>
          </cell>
          <cell r="H677">
            <v>2.0502677777781577</v>
          </cell>
          <cell r="I677">
            <v>7.1993615699640126</v>
          </cell>
          <cell r="J677">
            <v>26.771431294598283</v>
          </cell>
        </row>
        <row r="678">
          <cell r="B678" t="str">
            <v>EWIND</v>
          </cell>
          <cell r="C678" t="str">
            <v>VAR_ncap</v>
          </cell>
          <cell r="D678" t="str">
            <v>-</v>
          </cell>
          <cell r="F678">
            <v>7.1329226179074499E-3</v>
          </cell>
          <cell r="G678">
            <v>0.29200621561575801</v>
          </cell>
          <cell r="H678">
            <v>0.28589085776586098</v>
          </cell>
          <cell r="I678">
            <v>1.4406796488942399E-5</v>
          </cell>
          <cell r="J678">
            <v>5.8890511640983396</v>
          </cell>
        </row>
        <row r="679">
          <cell r="B679" t="str">
            <v>EWIND</v>
          </cell>
          <cell r="C679" t="str">
            <v>VAR_cap</v>
          </cell>
          <cell r="D679" t="str">
            <v>-</v>
          </cell>
          <cell r="E679">
            <v>8.7120000000000003E-2</v>
          </cell>
          <cell r="F679">
            <v>9.0660810654514645E-2</v>
          </cell>
          <cell r="G679">
            <v>8.3656728148443646E-2</v>
          </cell>
          <cell r="H679">
            <v>0.34087709206847033</v>
          </cell>
          <cell r="I679">
            <v>1.1969654272203567</v>
          </cell>
          <cell r="J679">
            <v>4.4510101496192602</v>
          </cell>
        </row>
        <row r="680">
          <cell r="B680" t="str">
            <v>EGEO</v>
          </cell>
          <cell r="C680" t="str">
            <v>VAR_fout</v>
          </cell>
          <cell r="D680" t="str">
            <v>ELC35</v>
          </cell>
          <cell r="I680">
            <v>1.3047293882992129E-2</v>
          </cell>
          <cell r="J680">
            <v>8.3127211491230174E-2</v>
          </cell>
        </row>
        <row r="681">
          <cell r="B681" t="str">
            <v>EGEO</v>
          </cell>
          <cell r="C681" t="str">
            <v>VAR_fin</v>
          </cell>
          <cell r="D681" t="str">
            <v>GEO</v>
          </cell>
          <cell r="I681">
            <v>8.6981959219947613E-2</v>
          </cell>
          <cell r="J681">
            <v>0.55418140994153386</v>
          </cell>
        </row>
        <row r="682">
          <cell r="B682" t="str">
            <v>EGEO</v>
          </cell>
          <cell r="C682" t="str">
            <v>VAR_ncap</v>
          </cell>
          <cell r="D682" t="str">
            <v>-</v>
          </cell>
          <cell r="I682">
            <v>3.30747599478479E-3</v>
          </cell>
          <cell r="J682">
            <v>5.5789760392950704E-7</v>
          </cell>
        </row>
        <row r="683">
          <cell r="B683" t="str">
            <v>EGEO</v>
          </cell>
          <cell r="C683" t="str">
            <v>VAR_cap</v>
          </cell>
          <cell r="D683" t="str">
            <v>-</v>
          </cell>
          <cell r="I683">
            <v>5.1778526695784503E-4</v>
          </cell>
          <cell r="J683">
            <v>3.3073009591384523E-3</v>
          </cell>
        </row>
        <row r="684">
          <cell r="B684" t="str">
            <v>D-SPLT</v>
          </cell>
          <cell r="C684" t="str">
            <v>VAR_fout</v>
          </cell>
          <cell r="D684" t="str">
            <v>SPLT</v>
          </cell>
          <cell r="E684">
            <v>2.0856497062270649</v>
          </cell>
          <cell r="F684">
            <v>2.4001032503386051</v>
          </cell>
          <cell r="G684">
            <v>0.57418847339101009</v>
          </cell>
          <cell r="H684">
            <v>0.72927329760050885</v>
          </cell>
          <cell r="I684">
            <v>1.0699252584094092</v>
          </cell>
          <cell r="J684">
            <v>1.0717054638767578</v>
          </cell>
        </row>
        <row r="685">
          <cell r="B685" t="str">
            <v>D-SPLT</v>
          </cell>
          <cell r="C685" t="str">
            <v>VAR_fin</v>
          </cell>
          <cell r="D685" t="str">
            <v>PLT</v>
          </cell>
          <cell r="E685">
            <v>2.0856497062270649</v>
          </cell>
          <cell r="F685">
            <v>2.4001032503386051</v>
          </cell>
          <cell r="G685">
            <v>0.57418847339101009</v>
          </cell>
          <cell r="H685">
            <v>0.72927329760050885</v>
          </cell>
          <cell r="I685">
            <v>1.0699252584094092</v>
          </cell>
          <cell r="J685">
            <v>1.0717054638767578</v>
          </cell>
        </row>
        <row r="686">
          <cell r="B686" t="str">
            <v>RHES-ESOLPV</v>
          </cell>
          <cell r="C686" t="str">
            <v>VAR_fout</v>
          </cell>
          <cell r="D686" t="str">
            <v>RHES_SOL_ELC</v>
          </cell>
          <cell r="E686">
            <v>2.1349390887346629</v>
          </cell>
          <cell r="F686">
            <v>3.3906661475089357</v>
          </cell>
          <cell r="G686">
            <v>4.0405083785973295</v>
          </cell>
          <cell r="H686">
            <v>12.231957837211498</v>
          </cell>
          <cell r="I686">
            <v>9.4360484674873479</v>
          </cell>
          <cell r="J686">
            <v>2.0511673344959274</v>
          </cell>
        </row>
        <row r="687">
          <cell r="B687" t="str">
            <v>RHES-ESOLPV</v>
          </cell>
          <cell r="C687" t="str">
            <v>VAR_fin</v>
          </cell>
          <cell r="D687" t="str">
            <v>SOL</v>
          </cell>
          <cell r="E687">
            <v>2.1349390887346629</v>
          </cell>
          <cell r="F687">
            <v>3.3906661475089357</v>
          </cell>
          <cell r="G687">
            <v>4.0405083785973295</v>
          </cell>
          <cell r="H687">
            <v>12.231957837211498</v>
          </cell>
          <cell r="I687">
            <v>9.4360484674873479</v>
          </cell>
          <cell r="J687">
            <v>2.0511673344959274</v>
          </cell>
        </row>
        <row r="688">
          <cell r="B688" t="str">
            <v>RHES-ESOLPV</v>
          </cell>
          <cell r="C688" t="str">
            <v>VAR_fin</v>
          </cell>
          <cell r="D688" t="str">
            <v>SOLPVC</v>
          </cell>
          <cell r="E688">
            <v>2.1349390887346602</v>
          </cell>
          <cell r="F688">
            <v>3.3906661475089401</v>
          </cell>
          <cell r="G688">
            <v>4.0405083785973304</v>
          </cell>
          <cell r="H688">
            <v>12.2319578372115</v>
          </cell>
          <cell r="I688">
            <v>9.4360484674873497</v>
          </cell>
          <cell r="J688">
            <v>2.05116733449593</v>
          </cell>
        </row>
        <row r="689">
          <cell r="B689" t="str">
            <v>RHES-ESOLPV</v>
          </cell>
          <cell r="C689" t="str">
            <v>VAR_ncap</v>
          </cell>
          <cell r="D689" t="str">
            <v>-</v>
          </cell>
          <cell r="F689">
            <v>3.40245415667787E-7</v>
          </cell>
          <cell r="G689">
            <v>7.2442610304265003E-6</v>
          </cell>
          <cell r="H689">
            <v>2.2738348747119401</v>
          </cell>
          <cell r="I689">
            <v>6.5333627124566603E-6</v>
          </cell>
          <cell r="J689">
            <v>3.7201505549475101E-6</v>
          </cell>
        </row>
        <row r="690">
          <cell r="B690" t="str">
            <v>RHES-ESOLPV</v>
          </cell>
          <cell r="C690" t="str">
            <v>VAR_cap</v>
          </cell>
          <cell r="D690" t="str">
            <v>-</v>
          </cell>
          <cell r="E690">
            <v>0.67885700000000004</v>
          </cell>
          <cell r="F690">
            <v>1.1559002579235655</v>
          </cell>
          <cell r="G690">
            <v>1.2891645845064461</v>
          </cell>
          <cell r="H690">
            <v>3.5261166242747599</v>
          </cell>
          <cell r="I690">
            <v>2.720139577246552</v>
          </cell>
          <cell r="J690">
            <v>0.591294343805987</v>
          </cell>
        </row>
        <row r="691">
          <cell r="B691" t="str">
            <v>SUP_DAC</v>
          </cell>
          <cell r="C691" t="str">
            <v>VAR_fout</v>
          </cell>
          <cell r="D691" t="str">
            <v>CO2_O</v>
          </cell>
          <cell r="I691">
            <v>1.4962731328082563E-2</v>
          </cell>
          <cell r="J691">
            <v>30.911494579844426</v>
          </cell>
        </row>
        <row r="692">
          <cell r="B692" t="str">
            <v>SUP_DAC</v>
          </cell>
          <cell r="C692" t="str">
            <v>VAR_fout</v>
          </cell>
          <cell r="D692" t="str">
            <v>CO2</v>
          </cell>
          <cell r="I692">
            <v>-1.4962731328082599E-2</v>
          </cell>
          <cell r="J692">
            <v>-30.911494579844401</v>
          </cell>
        </row>
        <row r="693">
          <cell r="B693" t="str">
            <v>SUP_DAC</v>
          </cell>
          <cell r="C693" t="str">
            <v>VAR_fin</v>
          </cell>
          <cell r="D693" t="str">
            <v>CHEAT</v>
          </cell>
          <cell r="I693">
            <v>9.9489898797873593E-5</v>
          </cell>
          <cell r="J693">
            <v>0.19702277201054946</v>
          </cell>
        </row>
        <row r="694">
          <cell r="B694" t="str">
            <v>SUP_DAC</v>
          </cell>
          <cell r="C694" t="str">
            <v>VAR_fin</v>
          </cell>
          <cell r="D694" t="str">
            <v>CELC</v>
          </cell>
          <cell r="I694">
            <v>2.0748320774941181E-5</v>
          </cell>
          <cell r="J694">
            <v>2.8129460067658419E-2</v>
          </cell>
        </row>
        <row r="695">
          <cell r="B695" t="str">
            <v>SUP_DAC</v>
          </cell>
          <cell r="C695" t="str">
            <v>VAR_ncap</v>
          </cell>
          <cell r="D695" t="str">
            <v>-</v>
          </cell>
          <cell r="I695">
            <v>4.5367618407960199E-3</v>
          </cell>
          <cell r="J695">
            <v>3.9175484715739399</v>
          </cell>
        </row>
        <row r="696">
          <cell r="B696" t="str">
            <v>SUP_DAC</v>
          </cell>
          <cell r="C696" t="str">
            <v>VAR_cap</v>
          </cell>
          <cell r="D696" t="str">
            <v>-</v>
          </cell>
          <cell r="I696">
            <v>4.5367618407960199E-3</v>
          </cell>
          <cell r="J696">
            <v>3.9208138686696796</v>
          </cell>
        </row>
        <row r="697">
          <cell r="B697" t="str">
            <v>EHYD-DAM10</v>
          </cell>
          <cell r="C697" t="str">
            <v>VAR_fout</v>
          </cell>
          <cell r="D697" t="str">
            <v>ELC</v>
          </cell>
          <cell r="F697">
            <v>3.5897307575812644E-2</v>
          </cell>
          <cell r="G697">
            <v>0.39726388801503015</v>
          </cell>
          <cell r="H697">
            <v>0.69776155132503048</v>
          </cell>
          <cell r="I697">
            <v>0.69927015888017063</v>
          </cell>
          <cell r="J697">
            <v>0.72976552395092287</v>
          </cell>
        </row>
        <row r="698">
          <cell r="B698" t="str">
            <v>EHYD-DAM10</v>
          </cell>
          <cell r="C698" t="str">
            <v>VAR_fin</v>
          </cell>
          <cell r="D698" t="str">
            <v>HYDD</v>
          </cell>
          <cell r="F698">
            <v>3.5897307575812644E-2</v>
          </cell>
          <cell r="G698">
            <v>0.39726388801503015</v>
          </cell>
          <cell r="H698">
            <v>0.69776155132503048</v>
          </cell>
          <cell r="I698">
            <v>0.69927015888017063</v>
          </cell>
          <cell r="J698">
            <v>0.72976552395092287</v>
          </cell>
        </row>
        <row r="699">
          <cell r="B699" t="str">
            <v>EHYD-DAM10</v>
          </cell>
          <cell r="C699" t="str">
            <v>VAR_ncap</v>
          </cell>
          <cell r="D699" t="str">
            <v>-</v>
          </cell>
          <cell r="F699">
            <v>4.49602114456927E-3</v>
          </cell>
          <cell r="G699">
            <v>3.9527323074378999E-2</v>
          </cell>
          <cell r="H699">
            <v>3.1226148777054999E-2</v>
          </cell>
          <cell r="I699">
            <v>1.29707198491884E-6</v>
          </cell>
          <cell r="J699">
            <v>1.14472249928746E-7</v>
          </cell>
        </row>
        <row r="700">
          <cell r="B700" t="str">
            <v>EHYD-DAM10</v>
          </cell>
          <cell r="C700" t="str">
            <v>VAR_cap</v>
          </cell>
          <cell r="D700" t="str">
            <v>-</v>
          </cell>
          <cell r="F700">
            <v>4.49602114456927E-3</v>
          </cell>
          <cell r="G700">
            <v>4.4023344218948303E-2</v>
          </cell>
          <cell r="H700">
            <v>7.5249492996003295E-2</v>
          </cell>
          <cell r="I700">
            <v>7.5293362060841598E-2</v>
          </cell>
          <cell r="J700">
            <v>7.52934765330915E-2</v>
          </cell>
        </row>
        <row r="701">
          <cell r="B701" t="str">
            <v>DH-EBAT</v>
          </cell>
          <cell r="C701" t="str">
            <v>VAR_fout</v>
          </cell>
          <cell r="D701" t="str">
            <v>ELC35</v>
          </cell>
          <cell r="E701">
            <v>1.085002497670866E-2</v>
          </cell>
          <cell r="F701">
            <v>8.6706876960889467E-3</v>
          </cell>
          <cell r="G701">
            <v>1.0769365756979366E-2</v>
          </cell>
          <cell r="H701">
            <v>1.2981682776919693E-2</v>
          </cell>
          <cell r="I701">
            <v>4.9274787745857751E-2</v>
          </cell>
          <cell r="J701">
            <v>0.670042879705671</v>
          </cell>
        </row>
        <row r="702">
          <cell r="B702" t="str">
            <v>DH-EBAT</v>
          </cell>
          <cell r="C702" t="str">
            <v>VAR_fout</v>
          </cell>
          <cell r="D702" t="str">
            <v>AUX_DH-EBAT_OUT</v>
          </cell>
          <cell r="E702">
            <v>1.085002497670866E-2</v>
          </cell>
          <cell r="F702">
            <v>8.6706876960889433E-3</v>
          </cell>
          <cell r="G702">
            <v>1.0769365756979362E-2</v>
          </cell>
          <cell r="H702">
            <v>1.2981682776919686E-2</v>
          </cell>
          <cell r="I702">
            <v>4.9274787745857723E-2</v>
          </cell>
          <cell r="J702">
            <v>0.67004287970567089</v>
          </cell>
        </row>
        <row r="703">
          <cell r="B703" t="str">
            <v>DH-EBAT</v>
          </cell>
          <cell r="C703" t="str">
            <v>VAR_fin</v>
          </cell>
          <cell r="D703" t="str">
            <v>ELC35</v>
          </cell>
          <cell r="E703">
            <v>1.2142223089759938E-2</v>
          </cell>
          <cell r="F703">
            <v>9.6976772168057782E-3</v>
          </cell>
          <cell r="G703">
            <v>1.2046824109842971E-2</v>
          </cell>
          <cell r="H703">
            <v>1.4522843645683564E-2</v>
          </cell>
          <cell r="I703">
            <v>5.5101811162551438E-2</v>
          </cell>
          <cell r="J703">
            <v>0.74926504364051993</v>
          </cell>
        </row>
        <row r="704">
          <cell r="B704" t="str">
            <v>DH-EBAT</v>
          </cell>
          <cell r="C704" t="str">
            <v>VAR_fin</v>
          </cell>
          <cell r="D704" t="str">
            <v>AUX_DH-EBAT_IN</v>
          </cell>
          <cell r="E704">
            <v>1.2142223089759938E-2</v>
          </cell>
          <cell r="F704">
            <v>9.6976772168057782E-3</v>
          </cell>
          <cell r="G704">
            <v>1.2046824109842971E-2</v>
          </cell>
          <cell r="H704">
            <v>1.4522843645683564E-2</v>
          </cell>
          <cell r="I704">
            <v>5.5101811162551438E-2</v>
          </cell>
          <cell r="J704">
            <v>0.74926504364051993</v>
          </cell>
        </row>
        <row r="705">
          <cell r="B705" t="str">
            <v>DH-EBAT</v>
          </cell>
          <cell r="C705" t="str">
            <v>VAR_ncap</v>
          </cell>
          <cell r="D705" t="str">
            <v>-</v>
          </cell>
          <cell r="E705">
            <v>1.5170488945995099E-3</v>
          </cell>
          <cell r="F705">
            <v>2.2595105895508699E-6</v>
          </cell>
          <cell r="G705">
            <v>8.8134616188627504E-6</v>
          </cell>
          <cell r="H705">
            <v>6.73751158374188E-4</v>
          </cell>
          <cell r="I705">
            <v>2.0328358833186801E-3</v>
          </cell>
          <cell r="J705">
            <v>0.26542928225085199</v>
          </cell>
        </row>
        <row r="706">
          <cell r="B706" t="str">
            <v>DH-EBAT</v>
          </cell>
          <cell r="C706" t="str">
            <v>VAR_cap</v>
          </cell>
          <cell r="D706" t="str">
            <v>-</v>
          </cell>
          <cell r="E706">
            <v>1.5170488945995099E-3</v>
          </cell>
          <cell r="F706">
            <v>1.5183528895792088E-3</v>
          </cell>
          <cell r="G706">
            <v>1.5264426230581572E-3</v>
          </cell>
          <cell r="H706">
            <v>1.792568477158523E-3</v>
          </cell>
          <cell r="I706">
            <v>1.460571006068561E-2</v>
          </cell>
          <cell r="J706">
            <v>0.26863266356901266</v>
          </cell>
        </row>
        <row r="707">
          <cell r="B707" t="str">
            <v>RHEM-EBAT</v>
          </cell>
          <cell r="C707" t="str">
            <v>VAR_fout</v>
          </cell>
          <cell r="D707" t="str">
            <v>RHEM_ELC</v>
          </cell>
          <cell r="E707">
            <v>3.5193839120269488E-3</v>
          </cell>
          <cell r="F707">
            <v>3.4994546934807107E-3</v>
          </cell>
          <cell r="G707">
            <v>3.5129514376405655E-3</v>
          </cell>
          <cell r="H707">
            <v>6.5285496970461182E-2</v>
          </cell>
          <cell r="I707">
            <v>4.2657365029252443E-2</v>
          </cell>
          <cell r="J707">
            <v>3.2051439957895285E-2</v>
          </cell>
        </row>
        <row r="708">
          <cell r="B708" t="str">
            <v>RHEM-EBAT</v>
          </cell>
          <cell r="C708" t="str">
            <v>VAR_fout</v>
          </cell>
          <cell r="D708" t="str">
            <v>AUX_RHEM-EBAT_OUT</v>
          </cell>
          <cell r="E708">
            <v>3.5193839120269523E-3</v>
          </cell>
          <cell r="F708">
            <v>3.4994546934807151E-3</v>
          </cell>
          <cell r="G708">
            <v>3.5129514376405699E-3</v>
          </cell>
          <cell r="H708">
            <v>6.5285496970461251E-2</v>
          </cell>
          <cell r="I708">
            <v>4.2657365029252464E-2</v>
          </cell>
          <cell r="J708">
            <v>3.2051439957895327E-2</v>
          </cell>
        </row>
        <row r="709">
          <cell r="B709" t="str">
            <v>RHEM-EBAT</v>
          </cell>
          <cell r="C709" t="str">
            <v>VAR_fin</v>
          </cell>
          <cell r="D709" t="str">
            <v>RHEM_ELC</v>
          </cell>
          <cell r="E709">
            <v>3.9232617567301776E-3</v>
          </cell>
          <cell r="F709">
            <v>3.8958615619734105E-3</v>
          </cell>
          <cell r="G709">
            <v>3.8889521788360516E-3</v>
          </cell>
          <cell r="H709">
            <v>7.2203013470547583E-2</v>
          </cell>
          <cell r="I709">
            <v>4.7175745497656393E-2</v>
          </cell>
          <cell r="J709">
            <v>3.5447026328406822E-2</v>
          </cell>
        </row>
        <row r="710">
          <cell r="B710" t="str">
            <v>RHEM-EBAT</v>
          </cell>
          <cell r="C710" t="str">
            <v>VAR_fin</v>
          </cell>
          <cell r="D710" t="str">
            <v>AUX_RHEM-EBAT_IN</v>
          </cell>
          <cell r="E710">
            <v>3.9232617567301776E-3</v>
          </cell>
          <cell r="F710">
            <v>3.8958615619734105E-3</v>
          </cell>
          <cell r="G710">
            <v>3.8889521788360516E-3</v>
          </cell>
          <cell r="H710">
            <v>7.2203013470547583E-2</v>
          </cell>
          <cell r="I710">
            <v>4.7175745497656393E-2</v>
          </cell>
          <cell r="J710">
            <v>3.5447026328406822E-2</v>
          </cell>
        </row>
        <row r="711">
          <cell r="B711" t="str">
            <v>RHEM-EBAT</v>
          </cell>
          <cell r="C711" t="str">
            <v>VAR_ncap</v>
          </cell>
          <cell r="D711" t="str">
            <v>-</v>
          </cell>
          <cell r="E711">
            <v>1.43389679336518E-3</v>
          </cell>
          <cell r="F711">
            <v>2.2468137662121301E-6</v>
          </cell>
          <cell r="G711">
            <v>6.6109932944417001E-6</v>
          </cell>
          <cell r="H711">
            <v>2.5686274433484101E-2</v>
          </cell>
          <cell r="I711">
            <v>2.3138289109709699E-2</v>
          </cell>
          <cell r="J711">
            <v>3.5570522828257899E-3</v>
          </cell>
        </row>
        <row r="712">
          <cell r="B712" t="str">
            <v>RHEM-EBAT</v>
          </cell>
          <cell r="C712" t="str">
            <v>VAR_cap</v>
          </cell>
          <cell r="D712" t="str">
            <v>-</v>
          </cell>
          <cell r="E712">
            <v>1.436477293154131E-3</v>
          </cell>
          <cell r="F712">
            <v>1.4379787039949239E-3</v>
          </cell>
          <cell r="G712">
            <v>1.4432014032631426E-3</v>
          </cell>
          <cell r="H712">
            <v>2.674163753255112E-2</v>
          </cell>
          <cell r="I712">
            <v>2.9401562339447167E-2</v>
          </cell>
          <cell r="J712">
            <v>1.5461103068744328E-2</v>
          </cell>
        </row>
        <row r="713">
          <cell r="B713" t="str">
            <v>HPLGEO</v>
          </cell>
          <cell r="C713" t="str">
            <v>VAR_fout</v>
          </cell>
          <cell r="D713" t="str">
            <v>LTH</v>
          </cell>
          <cell r="I713">
            <v>5.6174384672336467E-4</v>
          </cell>
          <cell r="J713">
            <v>2.5513953069997256E-4</v>
          </cell>
        </row>
        <row r="714">
          <cell r="B714" t="str">
            <v>HPLGEO</v>
          </cell>
          <cell r="C714" t="str">
            <v>VAR_fin</v>
          </cell>
          <cell r="D714" t="str">
            <v>GEO</v>
          </cell>
          <cell r="I714">
            <v>6.6087511379219355E-4</v>
          </cell>
          <cell r="J714">
            <v>3.0016415376467369E-4</v>
          </cell>
        </row>
        <row r="715">
          <cell r="B715" t="str">
            <v>HPLGEO</v>
          </cell>
          <cell r="C715" t="str">
            <v>VAR_ncap</v>
          </cell>
          <cell r="D715" t="str">
            <v>-</v>
          </cell>
          <cell r="I715">
            <v>3.1982563779405701E-5</v>
          </cell>
          <cell r="J715">
            <v>3.5272458972078901E-7</v>
          </cell>
        </row>
        <row r="716">
          <cell r="B716" t="str">
            <v>HPLGEO</v>
          </cell>
          <cell r="C716" t="str">
            <v>VAR_cap</v>
          </cell>
          <cell r="D716" t="str">
            <v>-</v>
          </cell>
          <cell r="I716">
            <v>3.1982563779405701E-5</v>
          </cell>
          <cell r="J716">
            <v>3.2335288369126498E-5</v>
          </cell>
        </row>
        <row r="717">
          <cell r="B717" t="str">
            <v>CT_CWODBDSCCS</v>
          </cell>
          <cell r="C717" t="str">
            <v>VAR_fout</v>
          </cell>
          <cell r="D717" t="str">
            <v>CO2_O</v>
          </cell>
          <cell r="I717">
            <v>0.37097351472682871</v>
          </cell>
          <cell r="J717">
            <v>604.36841083161164</v>
          </cell>
        </row>
        <row r="718">
          <cell r="B718" t="str">
            <v>CT_CWODBDSCCS</v>
          </cell>
          <cell r="C718" t="str">
            <v>VAR_fout</v>
          </cell>
          <cell r="D718" t="str">
            <v>CO2</v>
          </cell>
          <cell r="I718">
            <v>-0.37097351472682899</v>
          </cell>
          <cell r="J718">
            <v>-604.36841083161198</v>
          </cell>
        </row>
        <row r="719">
          <cell r="B719" t="str">
            <v>CT_CWODBDSCCS</v>
          </cell>
          <cell r="C719" t="str">
            <v>VAR_fout</v>
          </cell>
          <cell r="D719" t="str">
            <v>BDS</v>
          </cell>
          <cell r="I719">
            <v>2.0757172463506668E-3</v>
          </cell>
          <cell r="J719">
            <v>3.3816374585029019</v>
          </cell>
        </row>
        <row r="720">
          <cell r="B720" t="str">
            <v>CT_CWODBDSCCS</v>
          </cell>
          <cell r="C720" t="str">
            <v>VAR_fout</v>
          </cell>
          <cell r="D720" t="str">
            <v>LTH</v>
          </cell>
          <cell r="I720">
            <v>8.0952972607675863E-4</v>
          </cell>
          <cell r="J720">
            <v>1.3188386088161297</v>
          </cell>
        </row>
        <row r="721">
          <cell r="B721" t="str">
            <v>CT_CWODBDSCCS</v>
          </cell>
          <cell r="C721" t="str">
            <v>VAR_fin</v>
          </cell>
          <cell r="D721" t="str">
            <v>CWOD</v>
          </cell>
          <cell r="I721">
            <v>5.9147562934762175E-3</v>
          </cell>
          <cell r="J721">
            <v>9.6359759380040177</v>
          </cell>
        </row>
        <row r="722">
          <cell r="B722" t="str">
            <v>CT_CWODBDSCCS</v>
          </cell>
          <cell r="C722" t="str">
            <v>VAR_fin</v>
          </cell>
          <cell r="D722" t="str">
            <v>CELC</v>
          </cell>
          <cell r="I722">
            <v>2.6791579029683229E-4</v>
          </cell>
          <cell r="J722">
            <v>0.43647277767962483</v>
          </cell>
        </row>
        <row r="723">
          <cell r="B723" t="str">
            <v>CT_CWODBDSCCS</v>
          </cell>
          <cell r="C723" t="str">
            <v>VAR_ncap</v>
          </cell>
          <cell r="D723" t="str">
            <v>-</v>
          </cell>
          <cell r="I723">
            <v>3.1732844948973002E-4</v>
          </cell>
          <cell r="J723">
            <v>0.203255126038482</v>
          </cell>
        </row>
        <row r="724">
          <cell r="B724" t="str">
            <v>CT_CWODBDSCCS</v>
          </cell>
          <cell r="C724" t="str">
            <v>VAR_cap</v>
          </cell>
          <cell r="D724" t="str">
            <v>-</v>
          </cell>
          <cell r="I724">
            <v>3.1732844948973002E-4</v>
          </cell>
          <cell r="J724">
            <v>0.20357245448797101</v>
          </cell>
        </row>
        <row r="725">
          <cell r="B725" t="str">
            <v>EHYD-PUM15</v>
          </cell>
          <cell r="C725" t="str">
            <v>VAR_fout</v>
          </cell>
          <cell r="D725" t="str">
            <v>ELC</v>
          </cell>
          <cell r="F725">
            <v>5.5527451719326847E-3</v>
          </cell>
          <cell r="G725">
            <v>7.0268729384775214E-3</v>
          </cell>
          <cell r="H725">
            <v>8.7379161064912569E-3</v>
          </cell>
          <cell r="I725">
            <v>7.0330668012623483E-3</v>
          </cell>
          <cell r="J725">
            <v>7.5051334884670053E-3</v>
          </cell>
        </row>
        <row r="726">
          <cell r="B726" t="str">
            <v>EHYD-PUM15</v>
          </cell>
          <cell r="C726" t="str">
            <v>VAR_fout</v>
          </cell>
          <cell r="D726" t="str">
            <v>AUX_PUMP_OUT</v>
          </cell>
          <cell r="F726">
            <v>5.5527451719326847E-3</v>
          </cell>
          <cell r="G726">
            <v>7.0268729384775214E-3</v>
          </cell>
          <cell r="H726">
            <v>8.7379161064912569E-3</v>
          </cell>
          <cell r="I726">
            <v>7.0330668012623483E-3</v>
          </cell>
          <cell r="J726">
            <v>7.5051334884670053E-3</v>
          </cell>
        </row>
        <row r="727">
          <cell r="B727" t="str">
            <v>EHYD-PUM15</v>
          </cell>
          <cell r="C727" t="str">
            <v>VAR_fin</v>
          </cell>
          <cell r="D727" t="str">
            <v>AUX_PUMP_IN</v>
          </cell>
          <cell r="F727">
            <v>6.9476864213170479E-3</v>
          </cell>
          <cell r="G727">
            <v>8.7894487461925904E-3</v>
          </cell>
          <cell r="H727">
            <v>1.0922175062161173E-2</v>
          </cell>
          <cell r="I727">
            <v>8.7889759675013734E-3</v>
          </cell>
          <cell r="J727">
            <v>9.379041011171459E-3</v>
          </cell>
        </row>
        <row r="728">
          <cell r="B728" t="str">
            <v>EHYD-PUM15</v>
          </cell>
          <cell r="C728" t="str">
            <v>VAR_fin</v>
          </cell>
          <cell r="D728" t="str">
            <v>ELC</v>
          </cell>
          <cell r="F728">
            <v>6.9476864213170479E-3</v>
          </cell>
          <cell r="G728">
            <v>8.7894487461925904E-3</v>
          </cell>
          <cell r="H728">
            <v>1.0922175062161173E-2</v>
          </cell>
          <cell r="I728">
            <v>8.7889759675013734E-3</v>
          </cell>
          <cell r="J728">
            <v>9.379041011171459E-3</v>
          </cell>
        </row>
        <row r="729">
          <cell r="B729" t="str">
            <v>EHYD-PUM15</v>
          </cell>
          <cell r="C729" t="str">
            <v>VAR_ncap</v>
          </cell>
          <cell r="D729" t="str">
            <v>-</v>
          </cell>
          <cell r="F729">
            <v>6.9557451081056498E-4</v>
          </cell>
          <cell r="G729">
            <v>3.1744338393536801E-7</v>
          </cell>
          <cell r="H729">
            <v>4.5224825041288001E-7</v>
          </cell>
          <cell r="I729">
            <v>6.0106319867024803E-7</v>
          </cell>
          <cell r="J729">
            <v>1.8584772335977901E-6</v>
          </cell>
        </row>
        <row r="730">
          <cell r="B730" t="str">
            <v>EHYD-PUM15</v>
          </cell>
          <cell r="C730" t="str">
            <v>VAR_cap</v>
          </cell>
          <cell r="D730" t="str">
            <v>-</v>
          </cell>
          <cell r="F730">
            <v>6.9557451081056498E-4</v>
          </cell>
          <cell r="G730">
            <v>6.9557451081056498E-4</v>
          </cell>
          <cell r="H730">
            <v>6.9557451081056498E-4</v>
          </cell>
          <cell r="I730">
            <v>6.9634420244491305E-4</v>
          </cell>
          <cell r="J730">
            <v>6.9750282884519801E-4</v>
          </cell>
        </row>
        <row r="731">
          <cell r="B731" t="str">
            <v>D-EWST</v>
          </cell>
          <cell r="C731" t="str">
            <v>VAR_fout</v>
          </cell>
          <cell r="D731" t="str">
            <v>CO2</v>
          </cell>
          <cell r="E731">
            <v>2266.27808659006</v>
          </cell>
          <cell r="F731">
            <v>2250.3993828232601</v>
          </cell>
          <cell r="G731">
            <v>2319.1436817839699</v>
          </cell>
          <cell r="H731">
            <v>2366.5558015384199</v>
          </cell>
          <cell r="I731">
            <v>2460.2787637812899</v>
          </cell>
          <cell r="J731">
            <v>2552.91674452389</v>
          </cell>
        </row>
        <row r="732">
          <cell r="B732" t="str">
            <v>D-EWST</v>
          </cell>
          <cell r="C732" t="str">
            <v>VAR_fout</v>
          </cell>
          <cell r="D732" t="str">
            <v>EWST</v>
          </cell>
          <cell r="E732">
            <v>48.842200142027032</v>
          </cell>
          <cell r="F732">
            <v>48.499995602427148</v>
          </cell>
          <cell r="G732">
            <v>49.981548477873659</v>
          </cell>
          <cell r="H732">
            <v>51.003346979488555</v>
          </cell>
          <cell r="I732">
            <v>53.023249219424464</v>
          </cell>
          <cell r="J732">
            <v>55.019757425083782</v>
          </cell>
        </row>
        <row r="733">
          <cell r="B733" t="str">
            <v>D-EWST</v>
          </cell>
          <cell r="C733" t="str">
            <v>VAR_fin</v>
          </cell>
          <cell r="D733" t="str">
            <v>WSTNREN</v>
          </cell>
          <cell r="E733">
            <v>24.42110007101352</v>
          </cell>
          <cell r="F733">
            <v>24.249993349388586</v>
          </cell>
          <cell r="G733">
            <v>24.990772433016915</v>
          </cell>
          <cell r="H733">
            <v>25.501678895888194</v>
          </cell>
          <cell r="I733">
            <v>26.511624609712229</v>
          </cell>
          <cell r="J733">
            <v>27.509878712541898</v>
          </cell>
        </row>
        <row r="734">
          <cell r="B734" t="str">
            <v>D-EWST</v>
          </cell>
          <cell r="C734" t="str">
            <v>VAR_fin</v>
          </cell>
          <cell r="D734" t="str">
            <v>WSTREN</v>
          </cell>
          <cell r="E734">
            <v>24.42110007101352</v>
          </cell>
          <cell r="F734">
            <v>24.249993349388586</v>
          </cell>
          <cell r="G734">
            <v>24.990772433016915</v>
          </cell>
          <cell r="H734">
            <v>25.501678895888194</v>
          </cell>
          <cell r="I734">
            <v>26.511624609712229</v>
          </cell>
          <cell r="J734">
            <v>27.509878712541898</v>
          </cell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654.19287245644443</v>
          </cell>
          <cell r="E4">
            <v>1690.8374607233084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600.30032425437321</v>
          </cell>
          <cell r="E5">
            <v>1012.8299453807772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52.819536127988322</v>
          </cell>
          <cell r="E6">
            <v>39.234334354510537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1.0730120740838156</v>
          </cell>
          <cell r="E7">
            <v>638.77318098802152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409.81851181502969</v>
          </cell>
          <cell r="E8">
            <v>1256.8832126586501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457.14721359849261</v>
          </cell>
          <cell r="E9">
            <v>1199.2533591833051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57.601743510014785</v>
          </cell>
          <cell r="E10">
            <v>787.80222442780973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0.38359868620345894</v>
          </cell>
          <cell r="E11">
            <v>37.963920650355391</v>
          </cell>
        </row>
        <row r="12">
          <cell r="A12" t="str">
            <v>CO2_O</v>
          </cell>
          <cell r="B12" t="str">
            <v>VAR_fout</v>
          </cell>
          <cell r="C12" t="str">
            <v>SUP_WSTHTGBIOCCS</v>
          </cell>
          <cell r="D12">
            <v>2.0066568622909512E-2</v>
          </cell>
          <cell r="E12">
            <v>0.61559538156611837</v>
          </cell>
        </row>
        <row r="13">
          <cell r="A13" t="str">
            <v>CO2_O</v>
          </cell>
          <cell r="B13" t="str">
            <v>VAR_fout</v>
          </cell>
          <cell r="C13" t="str">
            <v>ITOT-CHPWODCCS</v>
          </cell>
          <cell r="D13">
            <v>561.61352754328641</v>
          </cell>
          <cell r="E13">
            <v>1178.3881778281368</v>
          </cell>
        </row>
        <row r="14">
          <cell r="A14" t="str">
            <v>CO2_O</v>
          </cell>
          <cell r="B14" t="str">
            <v>VAR_fout</v>
          </cell>
          <cell r="C14" t="str">
            <v>EWOD-CCS</v>
          </cell>
          <cell r="D14">
            <v>0.42488956825792173</v>
          </cell>
          <cell r="E14">
            <v>196.83304761788236</v>
          </cell>
        </row>
        <row r="15">
          <cell r="A15" t="str">
            <v>CO2_O</v>
          </cell>
          <cell r="B15" t="str">
            <v>VAR_fout</v>
          </cell>
          <cell r="C15" t="str">
            <v>ITOT-PROCESSCO2CCS</v>
          </cell>
          <cell r="D15">
            <v>0.10726296986643172</v>
          </cell>
          <cell r="E15">
            <v>1031.917409386763</v>
          </cell>
        </row>
        <row r="16">
          <cell r="A16" t="str">
            <v>CO2_O</v>
          </cell>
          <cell r="B16" t="str">
            <v>VAR_fout</v>
          </cell>
          <cell r="C16" t="str">
            <v>SUP_WODH2CCS</v>
          </cell>
          <cell r="E16">
            <v>971.30658976876987</v>
          </cell>
        </row>
        <row r="17">
          <cell r="A17" t="str">
            <v>CO2_O</v>
          </cell>
          <cell r="B17" t="str">
            <v>VAR_fout</v>
          </cell>
          <cell r="C17" t="str">
            <v>SUP_WODBIOCCS</v>
          </cell>
          <cell r="D17">
            <v>0.10217851590269025</v>
          </cell>
          <cell r="E17">
            <v>97.723808950709383</v>
          </cell>
        </row>
        <row r="18">
          <cell r="A18" t="str">
            <v>CO2_O</v>
          </cell>
          <cell r="B18" t="str">
            <v>VAR_fout</v>
          </cell>
          <cell r="C18" t="str">
            <v>SUP_NGAH2CCS</v>
          </cell>
          <cell r="E18">
            <v>4.6584237815019254E-2</v>
          </cell>
        </row>
        <row r="19">
          <cell r="A19" t="str">
            <v>CO2_O</v>
          </cell>
          <cell r="B19" t="str">
            <v>VAR_fout</v>
          </cell>
          <cell r="C19" t="str">
            <v>CT_CWODETHCCS</v>
          </cell>
          <cell r="D19">
            <v>6.4087003678660716E-3</v>
          </cell>
          <cell r="E19">
            <v>0.41147601375563914</v>
          </cell>
        </row>
        <row r="20">
          <cell r="A20" t="str">
            <v>CO2_O</v>
          </cell>
          <cell r="B20" t="str">
            <v>VAR_fout</v>
          </cell>
          <cell r="C20" t="str">
            <v>SUP_DAC</v>
          </cell>
          <cell r="D20">
            <v>1.4962731328082563E-2</v>
          </cell>
          <cell r="E20">
            <v>30.911494579844426</v>
          </cell>
        </row>
        <row r="21">
          <cell r="A21" t="str">
            <v>CO2_O</v>
          </cell>
          <cell r="B21" t="str">
            <v>VAR_fout</v>
          </cell>
          <cell r="C21" t="str">
            <v>CT_CWODBDSCCS</v>
          </cell>
          <cell r="D21">
            <v>0.37097351472682871</v>
          </cell>
          <cell r="E21">
            <v>604.36841083161164</v>
          </cell>
        </row>
        <row r="22">
          <cell r="A22" t="str">
            <v>CO2_O</v>
          </cell>
          <cell r="B22" t="str">
            <v>VAR_fin</v>
          </cell>
          <cell r="C22" t="str">
            <v>D-CO2_O</v>
          </cell>
          <cell r="D22">
            <v>1487.540465759173</v>
          </cell>
          <cell r="E22">
            <v>7394.3296745435091</v>
          </cell>
        </row>
        <row r="23">
          <cell r="A23" t="str">
            <v>CO2_Q</v>
          </cell>
          <cell r="B23" t="str">
            <v>VAR_fout</v>
          </cell>
          <cell r="C23" t="str">
            <v>D-CO2_O</v>
          </cell>
          <cell r="D23">
            <v>833.34759330272709</v>
          </cell>
          <cell r="E23">
            <v>3461.5439803128425</v>
          </cell>
        </row>
        <row r="24">
          <cell r="A24" t="str">
            <v>CO2_Q</v>
          </cell>
          <cell r="B24" t="str">
            <v>VAR_fin</v>
          </cell>
          <cell r="C24" t="str">
            <v>CO2SINK</v>
          </cell>
          <cell r="D24">
            <v>833.34759330272709</v>
          </cell>
          <cell r="E24">
            <v>3461.5439803128425</v>
          </cell>
        </row>
        <row r="25">
          <cell r="A25" t="str">
            <v>CO2_X</v>
          </cell>
          <cell r="B25" t="str">
            <v>VAR_fout</v>
          </cell>
          <cell r="C25" t="str">
            <v>D-CO2_O</v>
          </cell>
          <cell r="E25">
            <v>2241.9482335073644</v>
          </cell>
        </row>
        <row r="26">
          <cell r="A26" t="str">
            <v>CO2_X</v>
          </cell>
          <cell r="B26" t="str">
            <v>VAR_fin</v>
          </cell>
          <cell r="C26" t="str">
            <v>CO2EXP</v>
          </cell>
          <cell r="E26">
            <v>2241.9482335073644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IMPBDS1</v>
          </cell>
          <cell r="C4" t="str">
            <v>BDS1</v>
          </cell>
          <cell r="G4">
            <v>4.2083157035022296</v>
          </cell>
          <cell r="H4">
            <v>25.380683485443299</v>
          </cell>
          <cell r="I4">
            <v>63.901843643334999</v>
          </cell>
        </row>
        <row r="5">
          <cell r="A5" t="str">
            <v>EXPELC_DE</v>
          </cell>
          <cell r="C5" t="str">
            <v>ELC_E-DE</v>
          </cell>
          <cell r="D5">
            <v>26.492987070337517</v>
          </cell>
          <cell r="E5">
            <v>1.7199480875271708E-3</v>
          </cell>
          <cell r="F5">
            <v>1.9387620745842664E-3</v>
          </cell>
          <cell r="G5">
            <v>1.6570002983973668E-3</v>
          </cell>
          <cell r="H5">
            <v>8.0750752320254329E-3</v>
          </cell>
          <cell r="I5">
            <v>1.439952177415492E-3</v>
          </cell>
        </row>
        <row r="6">
          <cell r="A6" t="str">
            <v>IMPDSL</v>
          </cell>
          <cell r="C6" t="str">
            <v>DSL</v>
          </cell>
          <cell r="D6">
            <v>121.64758862965854</v>
          </cell>
          <cell r="E6">
            <v>112.68599474003712</v>
          </cell>
          <cell r="F6">
            <v>96.478282848762859</v>
          </cell>
          <cell r="G6">
            <v>55.499006686379374</v>
          </cell>
          <cell r="H6">
            <v>20.445674555921418</v>
          </cell>
        </row>
        <row r="7">
          <cell r="A7" t="str">
            <v>IMPH2</v>
          </cell>
          <cell r="C7" t="str">
            <v>H2</v>
          </cell>
          <cell r="H7">
            <v>4.5999749174174653E-5</v>
          </cell>
          <cell r="I7">
            <v>4.5330844822732328E-5</v>
          </cell>
        </row>
        <row r="8">
          <cell r="A8" t="str">
            <v>IMPELC_AT</v>
          </cell>
          <cell r="C8" t="str">
            <v>ELC_I-AT</v>
          </cell>
          <cell r="D8">
            <v>15.013832461361549</v>
          </cell>
          <cell r="E8">
            <v>5.2949950970727411E-2</v>
          </cell>
          <cell r="F8">
            <v>3.3275048685710976E-2</v>
          </cell>
          <cell r="G8">
            <v>2.1625234174090454E-2</v>
          </cell>
          <cell r="H8">
            <v>1.0500592290962667E-2</v>
          </cell>
          <cell r="I8">
            <v>6.4965324043206447</v>
          </cell>
        </row>
        <row r="9">
          <cell r="A9" t="str">
            <v>IMPELC_AT</v>
          </cell>
          <cell r="C9" t="str">
            <v>ELCS</v>
          </cell>
          <cell r="D9">
            <v>15.013832461361549</v>
          </cell>
          <cell r="E9">
            <v>5.2949950970727411E-2</v>
          </cell>
          <cell r="F9">
            <v>3.3275048685710976E-2</v>
          </cell>
          <cell r="G9">
            <v>2.1625234174090454E-2</v>
          </cell>
          <cell r="H9">
            <v>1.0500592290962667E-2</v>
          </cell>
          <cell r="I9">
            <v>6.4965324043206447</v>
          </cell>
        </row>
        <row r="10">
          <cell r="A10" t="str">
            <v>IMPELC_FR</v>
          </cell>
          <cell r="C10" t="str">
            <v>ELC_I-FR</v>
          </cell>
          <cell r="D10">
            <v>28.9486469346562</v>
          </cell>
          <cell r="E10">
            <v>21.730335825157798</v>
          </cell>
          <cell r="F10">
            <v>26.08301318727289</v>
          </cell>
          <cell r="G10">
            <v>18.261720076961996</v>
          </cell>
          <cell r="H10">
            <v>9.2698333362317058</v>
          </cell>
          <cell r="I10">
            <v>7.1266271128429493</v>
          </cell>
        </row>
        <row r="11">
          <cell r="A11" t="str">
            <v>IMPELC_FR</v>
          </cell>
          <cell r="C11" t="str">
            <v>ELCS</v>
          </cell>
          <cell r="D11">
            <v>28.9486469346562</v>
          </cell>
          <cell r="E11">
            <v>21.730335825157798</v>
          </cell>
          <cell r="F11">
            <v>26.08301318727289</v>
          </cell>
          <cell r="G11">
            <v>18.261720076961996</v>
          </cell>
          <cell r="H11">
            <v>9.2698333362317058</v>
          </cell>
          <cell r="I11">
            <v>7.1266271128429493</v>
          </cell>
        </row>
        <row r="12">
          <cell r="A12" t="str">
            <v>RNWHYDR1</v>
          </cell>
          <cell r="C12" t="str">
            <v>HYDR</v>
          </cell>
          <cell r="D12">
            <v>66.632410606460894</v>
          </cell>
          <cell r="E12">
            <v>55.764006821931375</v>
          </cell>
          <cell r="F12">
            <v>65.566170920840023</v>
          </cell>
          <cell r="G12">
            <v>66.917163236066742</v>
          </cell>
          <cell r="H12">
            <v>66.967455268473657</v>
          </cell>
          <cell r="I12">
            <v>67.13500508681291</v>
          </cell>
        </row>
        <row r="13">
          <cell r="A13" t="str">
            <v>EXPELC_IT</v>
          </cell>
          <cell r="C13" t="str">
            <v>ELC_E-IT</v>
          </cell>
          <cell r="D13">
            <v>71.69412878664167</v>
          </cell>
          <cell r="E13">
            <v>35.095587479656103</v>
          </cell>
          <cell r="F13">
            <v>54.88295954320126</v>
          </cell>
          <cell r="G13">
            <v>52.718539041882032</v>
          </cell>
          <cell r="H13">
            <v>24.840023444843528</v>
          </cell>
          <cell r="I13">
            <v>20.238707092030044</v>
          </cell>
        </row>
        <row r="14">
          <cell r="A14" t="str">
            <v>IMPLNG</v>
          </cell>
          <cell r="C14" t="str">
            <v>LBIO</v>
          </cell>
          <cell r="G14">
            <v>9.9627917520054296E-4</v>
          </cell>
          <cell r="H14">
            <v>1.2682209642664215E-3</v>
          </cell>
          <cell r="I14">
            <v>6.528243006230737E-5</v>
          </cell>
        </row>
        <row r="15">
          <cell r="A15" t="str">
            <v>IMPLNG</v>
          </cell>
          <cell r="C15" t="str">
            <v>LNGA</v>
          </cell>
          <cell r="G15">
            <v>4.746561962029652E-3</v>
          </cell>
          <cell r="H15">
            <v>6.0680445655471593E-3</v>
          </cell>
          <cell r="I15">
            <v>6.9584786099472873E-5</v>
          </cell>
        </row>
        <row r="16">
          <cell r="A16" t="str">
            <v>IMPURN1</v>
          </cell>
          <cell r="C16" t="str">
            <v>URN</v>
          </cell>
          <cell r="D16">
            <v>250.94828863526809</v>
          </cell>
          <cell r="E16">
            <v>253.29954054305796</v>
          </cell>
          <cell r="F16">
            <v>206.09702330408183</v>
          </cell>
          <cell r="G16">
            <v>211.82407765614377</v>
          </cell>
          <cell r="H16">
            <v>98.945514584658667</v>
          </cell>
        </row>
        <row r="17">
          <cell r="A17" t="str">
            <v>EXPELC_AT</v>
          </cell>
          <cell r="C17" t="str">
            <v>ELC_E-AT</v>
          </cell>
          <cell r="D17">
            <v>6.2295821392174782</v>
          </cell>
          <cell r="E17">
            <v>2.3578333974117131E-3</v>
          </cell>
          <cell r="F17">
            <v>2.9019737270762616E-3</v>
          </cell>
          <cell r="G17">
            <v>6.4791491826501966E-4</v>
          </cell>
          <cell r="H17">
            <v>8.5969181290441706E-4</v>
          </cell>
          <cell r="I17">
            <v>4.3121694012426994E-4</v>
          </cell>
        </row>
        <row r="18">
          <cell r="A18" t="str">
            <v>EXPELC_FR</v>
          </cell>
          <cell r="C18" t="str">
            <v>ELC_E-FR</v>
          </cell>
          <cell r="D18">
            <v>12.753379119069592</v>
          </cell>
          <cell r="E18">
            <v>2.0637551105677472E-3</v>
          </cell>
          <cell r="F18">
            <v>2.0182439058539026E-3</v>
          </cell>
          <cell r="G18">
            <v>9.8898972246776987E-4</v>
          </cell>
          <cell r="H18">
            <v>6.9597649965831739E-3</v>
          </cell>
          <cell r="I18">
            <v>5.7678816804000894E-3</v>
          </cell>
        </row>
        <row r="19">
          <cell r="A19" t="str">
            <v>RNWWND1</v>
          </cell>
          <cell r="C19" t="str">
            <v>WND</v>
          </cell>
          <cell r="D19">
            <v>0.50237815535259456</v>
          </cell>
          <cell r="E19">
            <v>0.52354036414842131</v>
          </cell>
          <cell r="F19">
            <v>0.48132849402570516</v>
          </cell>
          <cell r="G19">
            <v>0.87512928692996372</v>
          </cell>
          <cell r="H19">
            <v>0.87513738200973157</v>
          </cell>
          <cell r="I19">
            <v>0.87513807922311648</v>
          </cell>
        </row>
        <row r="20">
          <cell r="A20" t="str">
            <v>RNWWND2</v>
          </cell>
          <cell r="C20" t="str">
            <v>WND</v>
          </cell>
          <cell r="D20">
            <v>6.8768962015772501E-3</v>
          </cell>
          <cell r="E20">
            <v>6.9089624664001063E-3</v>
          </cell>
          <cell r="F20">
            <v>6.9412062676020986E-3</v>
          </cell>
          <cell r="G20">
            <v>1.1512791951053931</v>
          </cell>
          <cell r="H20">
            <v>2.3069828308387956</v>
          </cell>
          <cell r="I20">
            <v>2.3070706696547285</v>
          </cell>
        </row>
        <row r="21">
          <cell r="A21" t="str">
            <v>RNWMNR1</v>
          </cell>
          <cell r="C21" t="str">
            <v>MNR</v>
          </cell>
          <cell r="D21">
            <v>3.7981374165030539</v>
          </cell>
          <cell r="E21">
            <v>12.540429534987217</v>
          </cell>
          <cell r="F21">
            <v>12.540446857717637</v>
          </cell>
          <cell r="G21">
            <v>12.540468355927601</v>
          </cell>
          <cell r="H21">
            <v>12.540439596383878</v>
          </cell>
          <cell r="I21">
            <v>12.540439564431688</v>
          </cell>
        </row>
        <row r="22">
          <cell r="A22" t="str">
            <v>RNWWND3</v>
          </cell>
          <cell r="C22" t="str">
            <v>WND</v>
          </cell>
          <cell r="D22">
            <v>5.5840361305282719E-3</v>
          </cell>
          <cell r="E22">
            <v>5.605149245013521E-3</v>
          </cell>
          <cell r="F22">
            <v>5.6278628999056005E-3</v>
          </cell>
          <cell r="G22">
            <v>1.1215905443185179E-2</v>
          </cell>
          <cell r="H22">
            <v>3.9666930041721233</v>
          </cell>
          <cell r="I22">
            <v>5.0941097836161973</v>
          </cell>
        </row>
        <row r="23">
          <cell r="A23" t="str">
            <v>RNWMNR2</v>
          </cell>
          <cell r="C23" t="str">
            <v>MNR</v>
          </cell>
          <cell r="H23">
            <v>2.0900772126499816</v>
          </cell>
          <cell r="I23">
            <v>6.2702141422317954</v>
          </cell>
        </row>
        <row r="24">
          <cell r="A24" t="str">
            <v>RNWWND4</v>
          </cell>
          <cell r="C24" t="str">
            <v>WND</v>
          </cell>
          <cell r="D24">
            <v>5.1727796878426966E-3</v>
          </cell>
          <cell r="E24">
            <v>5.1912204686191147E-3</v>
          </cell>
          <cell r="F24">
            <v>5.2095179832416377E-3</v>
          </cell>
          <cell r="G24">
            <v>8.1444940178917683E-3</v>
          </cell>
          <cell r="H24">
            <v>4.0751362201571557E-2</v>
          </cell>
          <cell r="I24">
            <v>18.486808958286943</v>
          </cell>
        </row>
        <row r="25">
          <cell r="A25" t="str">
            <v>RNWMNR3</v>
          </cell>
          <cell r="C25" t="str">
            <v>MNR</v>
          </cell>
          <cell r="H25">
            <v>2.7297582694954086</v>
          </cell>
          <cell r="I25">
            <v>1.9101148901832454E-2</v>
          </cell>
        </row>
        <row r="26">
          <cell r="A26" t="str">
            <v>IMPLFO1</v>
          </cell>
          <cell r="C26" t="str">
            <v>LFO</v>
          </cell>
          <cell r="D26">
            <v>101.79822328097571</v>
          </cell>
          <cell r="E26">
            <v>88.320907577047521</v>
          </cell>
          <cell r="F26">
            <v>83.346079050141967</v>
          </cell>
          <cell r="G26">
            <v>46.240763404288629</v>
          </cell>
          <cell r="H26">
            <v>14.143512688268398</v>
          </cell>
        </row>
        <row r="27">
          <cell r="A27" t="str">
            <v>RNWWND5</v>
          </cell>
          <cell r="C27" t="str">
            <v>WND</v>
          </cell>
          <cell r="D27">
            <v>4.0491239689955695E-3</v>
          </cell>
          <cell r="E27">
            <v>4.0603419516221512E-3</v>
          </cell>
          <cell r="F27">
            <v>4.0715587877757226E-3</v>
          </cell>
          <cell r="G27">
            <v>4.5509918939055033E-3</v>
          </cell>
          <cell r="H27">
            <v>9.8317646070654047E-3</v>
          </cell>
          <cell r="I27">
            <v>8.335494037866752E-3</v>
          </cell>
        </row>
        <row r="28">
          <cell r="A28" t="str">
            <v>IMPBNGA</v>
          </cell>
          <cell r="C28" t="str">
            <v>BIO</v>
          </cell>
          <cell r="E28">
            <v>4.6553599779240371E-4</v>
          </cell>
          <cell r="F28">
            <v>4.1739799471019574E-4</v>
          </cell>
          <cell r="G28">
            <v>0.51705870344813343</v>
          </cell>
          <cell r="H28">
            <v>0.39602769247539632</v>
          </cell>
          <cell r="I28">
            <v>1.2227584934402459E-4</v>
          </cell>
        </row>
        <row r="29">
          <cell r="A29" t="str">
            <v>RNWGEO1</v>
          </cell>
          <cell r="C29" t="str">
            <v>GEO</v>
          </cell>
          <cell r="H29">
            <v>5.0687358507917279E-2</v>
          </cell>
          <cell r="I29">
            <v>0.48575964760321405</v>
          </cell>
        </row>
        <row r="30">
          <cell r="A30" t="str">
            <v>RNWGEO2</v>
          </cell>
          <cell r="C30" t="str">
            <v>GEO</v>
          </cell>
          <cell r="H30">
            <v>1.8654508958097758E-2</v>
          </cell>
          <cell r="I30">
            <v>4.3946850218991883E-2</v>
          </cell>
        </row>
        <row r="31">
          <cell r="A31" t="str">
            <v>IMPKERintl</v>
          </cell>
          <cell r="C31" t="str">
            <v>KERintl</v>
          </cell>
          <cell r="D31">
            <v>29.445541904988399</v>
          </cell>
          <cell r="E31">
            <v>59.482621832335802</v>
          </cell>
          <cell r="F31">
            <v>77.720013783486607</v>
          </cell>
          <cell r="G31">
            <v>65.930279318062603</v>
          </cell>
          <cell r="H31">
            <v>49.265334404106902</v>
          </cell>
        </row>
        <row r="32">
          <cell r="A32" t="str">
            <v>RNWGEO3</v>
          </cell>
          <cell r="C32" t="str">
            <v>GEO</v>
          </cell>
          <cell r="H32">
            <v>7.8263738191493935E-3</v>
          </cell>
          <cell r="I32">
            <v>1.1547280129354083E-2</v>
          </cell>
        </row>
        <row r="33">
          <cell r="A33" t="str">
            <v>RNWGEO4</v>
          </cell>
          <cell r="C33" t="str">
            <v>GEO</v>
          </cell>
          <cell r="H33">
            <v>5.7905055639107875E-3</v>
          </cell>
          <cell r="I33">
            <v>7.4874025593169042E-3</v>
          </cell>
        </row>
        <row r="34">
          <cell r="A34" t="str">
            <v>RNWGEO5</v>
          </cell>
          <cell r="C34" t="str">
            <v>GEO</v>
          </cell>
          <cell r="H34">
            <v>4.7234279630769547E-3</v>
          </cell>
          <cell r="I34">
            <v>5.7651168001727586E-3</v>
          </cell>
        </row>
        <row r="35">
          <cell r="A35" t="str">
            <v>IMPGSL</v>
          </cell>
          <cell r="C35" t="str">
            <v>GSL</v>
          </cell>
          <cell r="D35">
            <v>78.466104888166868</v>
          </cell>
          <cell r="E35">
            <v>76.476615103994703</v>
          </cell>
          <cell r="F35">
            <v>72.940811434166065</v>
          </cell>
          <cell r="G35">
            <v>38.214027615621234</v>
          </cell>
          <cell r="H35">
            <v>2.6765459809539345</v>
          </cell>
        </row>
        <row r="36">
          <cell r="A36" t="str">
            <v>RNWWOD1</v>
          </cell>
          <cell r="C36" t="str">
            <v>WOD</v>
          </cell>
          <cell r="D36">
            <v>11.111903223719343</v>
          </cell>
          <cell r="E36">
            <v>11.95290756883387</v>
          </cell>
          <cell r="F36">
            <v>13.357203666386715</v>
          </cell>
          <cell r="G36">
            <v>15.656168931402766</v>
          </cell>
          <cell r="H36">
            <v>17.11365295932568</v>
          </cell>
          <cell r="I36">
            <v>18.429691912950826</v>
          </cell>
        </row>
        <row r="37">
          <cell r="A37" t="str">
            <v>RNWWOD2</v>
          </cell>
          <cell r="C37" t="str">
            <v>WOD</v>
          </cell>
          <cell r="D37">
            <v>7.511696521954943</v>
          </cell>
          <cell r="E37">
            <v>7.5431656216657226</v>
          </cell>
          <cell r="F37">
            <v>7.5903570981293695</v>
          </cell>
          <cell r="G37">
            <v>7.669038104211908</v>
          </cell>
          <cell r="H37">
            <v>7.6690375494406133</v>
          </cell>
          <cell r="I37">
            <v>7.66904793259644</v>
          </cell>
        </row>
        <row r="38">
          <cell r="A38" t="str">
            <v>RNWWOD3</v>
          </cell>
          <cell r="C38" t="str">
            <v>WOD</v>
          </cell>
          <cell r="D38">
            <v>3.1682705552262749</v>
          </cell>
          <cell r="E38">
            <v>3.4956823114895896</v>
          </cell>
          <cell r="F38">
            <v>3.9868228696767529</v>
          </cell>
          <cell r="G38">
            <v>4.8053900806386309</v>
          </cell>
          <cell r="H38">
            <v>4.8053964936068763</v>
          </cell>
          <cell r="I38">
            <v>4.8053923972638746</v>
          </cell>
        </row>
        <row r="39">
          <cell r="A39" t="str">
            <v>RNWWOD4</v>
          </cell>
          <cell r="C39" t="str">
            <v>WOD</v>
          </cell>
          <cell r="D39">
            <v>15.110367903139812</v>
          </cell>
          <cell r="E39">
            <v>14.899046766912743</v>
          </cell>
          <cell r="F39">
            <v>19.670562460632656</v>
          </cell>
          <cell r="G39">
            <v>24.230793402962071</v>
          </cell>
          <cell r="H39">
            <v>24.230795205793157</v>
          </cell>
          <cell r="I39">
            <v>24.230800729009047</v>
          </cell>
        </row>
        <row r="40">
          <cell r="A40" t="str">
            <v>RNWWOD5</v>
          </cell>
          <cell r="C40" t="str">
            <v>WOD</v>
          </cell>
          <cell r="D40">
            <v>9.431626639755768</v>
          </cell>
          <cell r="E40">
            <v>12.599723082715826</v>
          </cell>
          <cell r="F40">
            <v>9.262961243285762</v>
          </cell>
          <cell r="G40">
            <v>1.5068954436484168</v>
          </cell>
          <cell r="H40">
            <v>9.2771176141103275</v>
          </cell>
          <cell r="I40">
            <v>16.174434485120415</v>
          </cell>
        </row>
        <row r="41">
          <cell r="A41" t="str">
            <v>RNNWWST1</v>
          </cell>
          <cell r="C41" t="str">
            <v>WSTNREN</v>
          </cell>
          <cell r="D41">
            <v>35.931209771846547</v>
          </cell>
          <cell r="E41">
            <v>36.218776929247788</v>
          </cell>
          <cell r="F41">
            <v>36.032187568349471</v>
          </cell>
          <cell r="G41">
            <v>37.198089783637549</v>
          </cell>
          <cell r="H41">
            <v>38.08253379608724</v>
          </cell>
          <cell r="I41">
            <v>39.221670937669039</v>
          </cell>
        </row>
        <row r="42">
          <cell r="A42" t="str">
            <v>RNWSOL1</v>
          </cell>
          <cell r="C42" t="str">
            <v>SOL</v>
          </cell>
          <cell r="D42">
            <v>12.556628750568752</v>
          </cell>
          <cell r="E42">
            <v>16.524078572413828</v>
          </cell>
          <cell r="F42">
            <v>30.408888195972985</v>
          </cell>
          <cell r="G42">
            <v>64.437686546299503</v>
          </cell>
          <cell r="H42">
            <v>124.4324782329119</v>
          </cell>
          <cell r="I42">
            <v>160.45518090943628</v>
          </cell>
        </row>
        <row r="43">
          <cell r="A43" t="str">
            <v>IMPHFO1</v>
          </cell>
          <cell r="C43" t="str">
            <v>HFO</v>
          </cell>
          <cell r="D43">
            <v>2.7764107403826093</v>
          </cell>
          <cell r="E43">
            <v>2.6594468085616252</v>
          </cell>
          <cell r="F43">
            <v>1.112370171729435E-2</v>
          </cell>
          <cell r="G43">
            <v>6.6164721561264592E-4</v>
          </cell>
          <cell r="H43">
            <v>1.0107088171216715E-3</v>
          </cell>
        </row>
        <row r="44">
          <cell r="A44" t="str">
            <v>RNWHYDD1</v>
          </cell>
          <cell r="C44" t="str">
            <v>HYDD</v>
          </cell>
          <cell r="D44">
            <v>66.745680801082017</v>
          </cell>
          <cell r="E44">
            <v>49.798798162012773</v>
          </cell>
          <cell r="F44">
            <v>68.519822333982503</v>
          </cell>
          <cell r="G44">
            <v>68.564272621523813</v>
          </cell>
          <cell r="H44">
            <v>71.347195485573849</v>
          </cell>
          <cell r="I44">
            <v>74.836062463111233</v>
          </cell>
        </row>
        <row r="45">
          <cell r="A45" t="str">
            <v>IMPKER</v>
          </cell>
          <cell r="C45" t="str">
            <v>KER</v>
          </cell>
          <cell r="D45">
            <v>1.1093666203414991</v>
          </cell>
          <cell r="E45">
            <v>1.4050063353074913</v>
          </cell>
          <cell r="F45">
            <v>1.8434315008766184</v>
          </cell>
          <cell r="G45">
            <v>2.5702199528128182</v>
          </cell>
          <cell r="H45">
            <v>2.1091871352358993</v>
          </cell>
        </row>
        <row r="46">
          <cell r="A46" t="str">
            <v>IMPBDS</v>
          </cell>
          <cell r="C46" t="str">
            <v>BDS</v>
          </cell>
          <cell r="D46">
            <v>2.8772619344778949</v>
          </cell>
          <cell r="E46">
            <v>1.8120741236159641</v>
          </cell>
          <cell r="F46">
            <v>3.3314785464623751</v>
          </cell>
          <cell r="G46">
            <v>2.3296445277400792</v>
          </cell>
          <cell r="H46">
            <v>1.4758421914005306</v>
          </cell>
          <cell r="I46">
            <v>5.8810796345919147</v>
          </cell>
        </row>
        <row r="47">
          <cell r="A47" t="str">
            <v>IMPCOA1</v>
          </cell>
          <cell r="C47" t="str">
            <v>COA</v>
          </cell>
          <cell r="D47">
            <v>3.6601003305816735</v>
          </cell>
          <cell r="E47">
            <v>3.5647439460349619</v>
          </cell>
          <cell r="F47">
            <v>3.2455494848262378</v>
          </cell>
          <cell r="G47">
            <v>8.7668907554710844E-4</v>
          </cell>
          <cell r="H47">
            <v>1.0123174128948299E-3</v>
          </cell>
          <cell r="I47">
            <v>2.4086008422096807E-5</v>
          </cell>
        </row>
        <row r="48">
          <cell r="A48" t="str">
            <v>IMPETH</v>
          </cell>
          <cell r="C48" t="str">
            <v>ETH</v>
          </cell>
          <cell r="D48">
            <v>3.0828793892936579</v>
          </cell>
          <cell r="E48">
            <v>4.1475990156912266</v>
          </cell>
          <cell r="F48">
            <v>2.6282391971465437</v>
          </cell>
          <cell r="G48">
            <v>3.1134281497913165</v>
          </cell>
          <cell r="H48">
            <v>4.0882628064009152</v>
          </cell>
          <cell r="I48">
            <v>7.8928227247275592E-2</v>
          </cell>
        </row>
        <row r="49">
          <cell r="A49" t="str">
            <v>IMPELC_DE</v>
          </cell>
          <cell r="C49" t="str">
            <v>ELC_I-DE</v>
          </cell>
          <cell r="D49">
            <v>46.398500037170123</v>
          </cell>
          <cell r="E49">
            <v>28.492116506512957</v>
          </cell>
          <cell r="F49">
            <v>24.335243056635694</v>
          </cell>
          <cell r="G49">
            <v>32.437866097606076</v>
          </cell>
          <cell r="H49">
            <v>13.839922435325898</v>
          </cell>
          <cell r="I49">
            <v>4.6227252277786501</v>
          </cell>
        </row>
        <row r="50">
          <cell r="A50" t="str">
            <v>IMPELC_DE</v>
          </cell>
          <cell r="C50" t="str">
            <v>ELCS</v>
          </cell>
          <cell r="D50">
            <v>46.398500037170123</v>
          </cell>
          <cell r="E50">
            <v>28.492116506512957</v>
          </cell>
          <cell r="F50">
            <v>24.335243056635694</v>
          </cell>
          <cell r="G50">
            <v>32.437866097606076</v>
          </cell>
          <cell r="H50">
            <v>13.839922435325898</v>
          </cell>
          <cell r="I50">
            <v>4.6227252277786501</v>
          </cell>
        </row>
        <row r="51">
          <cell r="A51" t="str">
            <v>RNWWST1</v>
          </cell>
          <cell r="C51" t="str">
            <v>WSTREN</v>
          </cell>
          <cell r="D51">
            <v>34.100494857938415</v>
          </cell>
          <cell r="E51">
            <v>34.101123938062869</v>
          </cell>
          <cell r="F51">
            <v>34.101133259124147</v>
          </cell>
          <cell r="G51">
            <v>37.402078989280781</v>
          </cell>
          <cell r="H51">
            <v>41.113237338899573</v>
          </cell>
          <cell r="I51">
            <v>44.60638800390371</v>
          </cell>
        </row>
        <row r="52">
          <cell r="A52" t="str">
            <v>IMPNGA1</v>
          </cell>
          <cell r="C52" t="str">
            <v>NGA</v>
          </cell>
          <cell r="D52">
            <v>117.2508369454024</v>
          </cell>
          <cell r="E52">
            <v>106.72002251896113</v>
          </cell>
          <cell r="F52">
            <v>99.003901385959068</v>
          </cell>
          <cell r="G52">
            <v>77.071912118025338</v>
          </cell>
          <cell r="H52">
            <v>21.577171349557148</v>
          </cell>
          <cell r="I52">
            <v>2.545013271407467E-5</v>
          </cell>
        </row>
        <row r="53">
          <cell r="A53" t="str">
            <v>IMPELC_IT</v>
          </cell>
          <cell r="C53" t="str">
            <v>ELC_I-IT</v>
          </cell>
          <cell r="D53">
            <v>6.7991061859508157</v>
          </cell>
          <cell r="E53">
            <v>1.4773843511531705E-3</v>
          </cell>
          <cell r="F53">
            <v>1.2944362679624022E-3</v>
          </cell>
          <cell r="G53">
            <v>6.2482431988887467E-4</v>
          </cell>
          <cell r="H53">
            <v>6.0181411929966519E-4</v>
          </cell>
          <cell r="I53">
            <v>4.6053669656159383E-4</v>
          </cell>
        </row>
        <row r="54">
          <cell r="A54" t="str">
            <v>IMPELC_IT</v>
          </cell>
          <cell r="C54" t="str">
            <v>ELCS</v>
          </cell>
          <cell r="D54">
            <v>6.7991061859508157</v>
          </cell>
          <cell r="E54">
            <v>1.4773843511531705E-3</v>
          </cell>
          <cell r="F54">
            <v>1.2944362679624022E-3</v>
          </cell>
          <cell r="G54">
            <v>6.2482431988887467E-4</v>
          </cell>
          <cell r="H54">
            <v>6.0181411929966519E-4</v>
          </cell>
          <cell r="I54">
            <v>4.6053669656159383E-4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3.2683197174434624</v>
          </cell>
          <cell r="E4">
            <v>3.8320394331420657</v>
          </cell>
          <cell r="F4">
            <v>0.64693855306335313</v>
          </cell>
          <cell r="G4">
            <v>0.79176862868500975</v>
          </cell>
          <cell r="H4">
            <v>0.88640623601479518</v>
          </cell>
          <cell r="I4">
            <v>0.77219160364495831</v>
          </cell>
          <cell r="J4"/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3.2683197174434624</v>
          </cell>
          <cell r="E5">
            <v>3.8320394331420657</v>
          </cell>
          <cell r="F5">
            <v>0.64693855306335313</v>
          </cell>
          <cell r="G5">
            <v>0.79176862868500975</v>
          </cell>
          <cell r="H5">
            <v>0.88640623601479518</v>
          </cell>
          <cell r="I5">
            <v>0.77219160364495831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8.7359077963016849E-5</v>
          </cell>
          <cell r="F6">
            <v>4.4662531753064467E-5</v>
          </cell>
          <cell r="G6">
            <v>1.6959179345850452E-4</v>
          </cell>
          <cell r="H6">
            <v>1.3665719506879452E-4</v>
          </cell>
          <cell r="I6">
            <v>1.6099157195440141E-4</v>
          </cell>
          <cell r="J6"/>
          <cell r="K6"/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5.3981806328500597E-6</v>
          </cell>
          <cell r="F7">
            <v>2.0715069870380868E-5</v>
          </cell>
          <cell r="G7">
            <v>1.3929904115775782E-4</v>
          </cell>
          <cell r="H7">
            <v>1.2982047898244103E-4</v>
          </cell>
          <cell r="I7">
            <v>1.5920222167044475E-4</v>
          </cell>
          <cell r="J7"/>
          <cell r="K7"/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1.49487428504954E-4</v>
          </cell>
          <cell r="E8">
            <v>1.04195950196077E-5</v>
          </cell>
          <cell r="F8">
            <v>2.0006449937467601E-4</v>
          </cell>
          <cell r="G8">
            <v>1.1014516199169801E-5</v>
          </cell>
          <cell r="H8">
            <v>2.9799511890167699E-5</v>
          </cell>
          <cell r="I8">
            <v>3.3147182503944303E-5</v>
          </cell>
          <cell r="J8"/>
          <cell r="K8"/>
          <cell r="L8"/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1.49487428504954E-4</v>
          </cell>
          <cell r="E9">
            <v>1.59907023524562E-4</v>
          </cell>
          <cell r="F9">
            <v>3.5997152289923801E-4</v>
          </cell>
          <cell r="G9">
            <v>3.7098603909840801E-4</v>
          </cell>
          <cell r="H9">
            <v>7.5419491994017606E-5</v>
          </cell>
          <cell r="I9">
            <v>5.5899448384366902E-5</v>
          </cell>
          <cell r="J9"/>
        </row>
        <row r="10">
          <cell r="A10" t="str">
            <v>RHNM-SHLFOBR</v>
          </cell>
          <cell r="B10" t="str">
            <v>VAR_fout</v>
          </cell>
          <cell r="C10" t="str">
            <v>CO2_R</v>
          </cell>
          <cell r="D10"/>
          <cell r="E10">
            <v>5.1450918827925804E-3</v>
          </cell>
          <cell r="F10">
            <v>4.7800345338436001</v>
          </cell>
          <cell r="G10">
            <v>7.2633879456255102</v>
          </cell>
          <cell r="H10">
            <v>4.9965591850663396</v>
          </cell>
          <cell r="I10"/>
          <cell r="J10"/>
        </row>
        <row r="11">
          <cell r="A11" t="str">
            <v>RHNM-SHLFOBR</v>
          </cell>
          <cell r="B11" t="str">
            <v>VAR_fout</v>
          </cell>
          <cell r="C11" t="str">
            <v>RHNM-SHLFO</v>
          </cell>
          <cell r="D11"/>
          <cell r="E11">
            <v>6.2539278313003535E-5</v>
          </cell>
          <cell r="F11">
            <v>6.1596164847610088E-2</v>
          </cell>
          <cell r="G11">
            <v>9.3596989327845451E-2</v>
          </cell>
          <cell r="H11">
            <v>6.4386330486761428E-2</v>
          </cell>
          <cell r="I11"/>
          <cell r="J11"/>
          <cell r="K11"/>
          <cell r="L11"/>
        </row>
        <row r="12">
          <cell r="A12" t="str">
            <v>RHNM-SHLFOBR</v>
          </cell>
          <cell r="B12" t="str">
            <v>VAR_fin</v>
          </cell>
          <cell r="C12" t="str">
            <v>RLFO</v>
          </cell>
          <cell r="D12"/>
          <cell r="E12">
            <v>6.9811287419166686E-5</v>
          </cell>
          <cell r="F12">
            <v>6.485799910235554E-2</v>
          </cell>
          <cell r="G12">
            <v>9.855343209803942E-2</v>
          </cell>
          <cell r="H12">
            <v>6.7795918386246226E-2</v>
          </cell>
          <cell r="I12"/>
        </row>
        <row r="13">
          <cell r="A13" t="str">
            <v>RHNM-SHLFOBR</v>
          </cell>
          <cell r="B13" t="str">
            <v>VAR_ncap</v>
          </cell>
          <cell r="C13" t="str">
            <v>-</v>
          </cell>
          <cell r="D13"/>
          <cell r="E13">
            <v>8.3305599967333697E-5</v>
          </cell>
          <cell r="F13">
            <v>2.8294080305162901E-2</v>
          </cell>
          <cell r="G13"/>
          <cell r="H13"/>
          <cell r="I13"/>
          <cell r="J13"/>
          <cell r="K13"/>
        </row>
        <row r="14">
          <cell r="A14" t="str">
            <v>RHNM-SHLFOBR</v>
          </cell>
          <cell r="B14" t="str">
            <v>VAR_cap</v>
          </cell>
          <cell r="C14" t="str">
            <v>-</v>
          </cell>
          <cell r="D14"/>
          <cell r="E14">
            <v>8.3305599967333697E-5</v>
          </cell>
          <cell r="F14">
            <v>2.835791601198679E-2</v>
          </cell>
          <cell r="G14">
            <v>2.8340990176927344E-2</v>
          </cell>
          <cell r="H14">
            <v>5.0114154776168462E-3</v>
          </cell>
          <cell r="I14"/>
          <cell r="J14"/>
          <cell r="K14"/>
          <cell r="L14"/>
          <cell r="M14"/>
        </row>
        <row r="15">
          <cell r="A15" t="str">
            <v>RHNS-SHNGAHP</v>
          </cell>
          <cell r="B15" t="str">
            <v>VAR_fout</v>
          </cell>
          <cell r="C15" t="str">
            <v>CO2_R</v>
          </cell>
          <cell r="D15"/>
          <cell r="E15"/>
          <cell r="F15">
            <v>5.5731231453390198</v>
          </cell>
          <cell r="G15">
            <v>17.751624709019499</v>
          </cell>
          <cell r="H15">
            <v>28.911332392441299</v>
          </cell>
          <cell r="I15">
            <v>32.684935328625102</v>
          </cell>
        </row>
        <row r="16">
          <cell r="A16" t="str">
            <v>RHNS-SHNGAHP</v>
          </cell>
          <cell r="B16" t="str">
            <v>VAR_fout</v>
          </cell>
          <cell r="C16" t="str">
            <v>RHNS-SHANGAH</v>
          </cell>
          <cell r="D16"/>
          <cell r="E16"/>
          <cell r="F16">
            <v>0.19011226530171985</v>
          </cell>
          <cell r="G16">
            <v>0.62901344024279848</v>
          </cell>
          <cell r="H16">
            <v>1.0491639387875524</v>
          </cell>
          <cell r="I16">
            <v>1.2425265918978254</v>
          </cell>
          <cell r="J16"/>
          <cell r="K16"/>
          <cell r="L16"/>
        </row>
        <row r="17">
          <cell r="A17" t="str">
            <v>RHNS-SHNGAHP</v>
          </cell>
          <cell r="B17" t="str">
            <v>VAR_fin</v>
          </cell>
          <cell r="C17" t="str">
            <v>RNGA</v>
          </cell>
          <cell r="D17"/>
          <cell r="E17"/>
          <cell r="F17">
            <v>9.8814240165585418E-2</v>
          </cell>
          <cell r="G17">
            <v>0.31474511895424556</v>
          </cell>
          <cell r="H17">
            <v>0.51261227646172547</v>
          </cell>
          <cell r="I17">
            <v>0.57952012994016078</v>
          </cell>
          <cell r="J17"/>
        </row>
        <row r="18">
          <cell r="A18" t="str">
            <v>RHNS-SHNGAHP</v>
          </cell>
          <cell r="B18" t="str">
            <v>VAR_fin</v>
          </cell>
          <cell r="C18" t="str">
            <v>RHNSELCHPC</v>
          </cell>
          <cell r="D18"/>
          <cell r="E18"/>
          <cell r="F18">
            <v>0.19011226530171985</v>
          </cell>
          <cell r="G18">
            <v>0.62901344024279848</v>
          </cell>
          <cell r="H18">
            <v>1.0491639387875524</v>
          </cell>
          <cell r="I18">
            <v>1.2425265918978254</v>
          </cell>
          <cell r="J18"/>
          <cell r="K18"/>
        </row>
        <row r="19">
          <cell r="A19" t="str">
            <v>RHNS-SHNGAHP</v>
          </cell>
          <cell r="B19" t="str">
            <v>VAR_ncap</v>
          </cell>
          <cell r="C19" t="str">
            <v>-</v>
          </cell>
          <cell r="D19"/>
          <cell r="E19">
            <v>1.6539688280412901E-6</v>
          </cell>
          <cell r="F19">
            <v>1.40090959415477E-2</v>
          </cell>
          <cell r="G19">
            <v>3.1860975357602801E-2</v>
          </cell>
          <cell r="H19">
            <v>3.5925532227407103E-2</v>
          </cell>
          <cell r="I19">
            <v>5.7594498180123403E-2</v>
          </cell>
          <cell r="J19"/>
          <cell r="K19"/>
          <cell r="L19"/>
        </row>
        <row r="20">
          <cell r="A20" t="str">
            <v>RHNS-SHNGAHP</v>
          </cell>
          <cell r="B20" t="str">
            <v>VAR_cap</v>
          </cell>
          <cell r="C20" t="str">
            <v>-</v>
          </cell>
          <cell r="D20"/>
          <cell r="E20">
            <v>1.6539688280412901E-6</v>
          </cell>
          <cell r="F20">
            <v>1.4010426106244396E-2</v>
          </cell>
          <cell r="G20">
            <v>4.5871269254456171E-2</v>
          </cell>
          <cell r="H20">
            <v>7.7103035561909783E-2</v>
          </cell>
          <cell r="I20">
            <v>9.0830527990252347E-2</v>
          </cell>
          <cell r="J20"/>
          <cell r="K20"/>
        </row>
        <row r="21">
          <cell r="A21" t="str">
            <v>ITOT-SWHPLTBR</v>
          </cell>
          <cell r="B21" t="str">
            <v>VAR_fout</v>
          </cell>
          <cell r="C21" t="str">
            <v>ITOT-SWH</v>
          </cell>
          <cell r="D21">
            <v>0.46154685364200382</v>
          </cell>
          <cell r="E21">
            <v>0.54458573935074583</v>
          </cell>
          <cell r="F21">
            <v>0.54470924689888378</v>
          </cell>
          <cell r="G21">
            <v>0.54474781208138556</v>
          </cell>
          <cell r="H21">
            <v>0.54477789346138306</v>
          </cell>
          <cell r="I21">
            <v>0.54478061647258103</v>
          </cell>
          <cell r="J21"/>
          <cell r="K21"/>
        </row>
        <row r="22">
          <cell r="A22" t="str">
            <v>ITOT-SWHPLTBR</v>
          </cell>
          <cell r="B22" t="str">
            <v>VAR_fin</v>
          </cell>
          <cell r="C22" t="str">
            <v>ITOTPLTBRC</v>
          </cell>
          <cell r="D22">
            <v>0.46154685364200382</v>
          </cell>
          <cell r="E22">
            <v>0.54458573935074583</v>
          </cell>
          <cell r="F22">
            <v>0.54470924689888378</v>
          </cell>
          <cell r="G22">
            <v>0.54474781208138556</v>
          </cell>
          <cell r="H22">
            <v>0.54477789346138306</v>
          </cell>
          <cell r="I22">
            <v>0.54478061647258103</v>
          </cell>
          <cell r="J22"/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IPLT</v>
          </cell>
          <cell r="D23">
            <v>0.62582624222644578</v>
          </cell>
          <cell r="E23">
            <v>0.73758790882719549</v>
          </cell>
          <cell r="F23">
            <v>0.73650827749708303</v>
          </cell>
          <cell r="G23">
            <v>0.73449143201984479</v>
          </cell>
          <cell r="H23">
            <v>0.7304284605068827</v>
          </cell>
          <cell r="I23">
            <v>0.72637415529677496</v>
          </cell>
        </row>
        <row r="24">
          <cell r="A24" t="str">
            <v>ITOT-SWHPLTBR</v>
          </cell>
          <cell r="B24" t="str">
            <v>VAR_ncap</v>
          </cell>
          <cell r="C24" t="str">
            <v>-</v>
          </cell>
          <cell r="D24"/>
          <cell r="E24">
            <v>8.3439278242711506E-3</v>
          </cell>
          <cell r="F24">
            <v>1.22801831173173E-4</v>
          </cell>
          <cell r="G24">
            <v>6.22457296345767E-5</v>
          </cell>
          <cell r="H24">
            <v>1.4216247781752201E-2</v>
          </cell>
          <cell r="I24">
            <v>2.5254668474324001E-2</v>
          </cell>
          <cell r="J24"/>
        </row>
        <row r="25">
          <cell r="A25" t="str">
            <v>ITOT-SWHPLTBR</v>
          </cell>
          <cell r="B25" t="str">
            <v>VAR_cap</v>
          </cell>
          <cell r="C25" t="str">
            <v>-</v>
          </cell>
          <cell r="D25">
            <v>2.9860759506449799E-2</v>
          </cell>
          <cell r="E25">
            <v>3.8200311814134441E-2</v>
          </cell>
          <cell r="F25">
            <v>3.823394499567332E-2</v>
          </cell>
          <cell r="G25">
            <v>3.8224211017757352E-2</v>
          </cell>
          <cell r="H25">
            <v>4.2506351981758658E-2</v>
          </cell>
          <cell r="I25">
            <v>4.2987659309887606E-2</v>
          </cell>
        </row>
        <row r="26">
          <cell r="A26" t="str">
            <v>D-RHNS_KEV_WOD_ELC_CHP</v>
          </cell>
          <cell r="B26" t="str">
            <v>VAR_fout</v>
          </cell>
          <cell r="C26" t="str">
            <v>RHNS_ELC</v>
          </cell>
          <cell r="D26"/>
          <cell r="E26"/>
          <cell r="F26"/>
          <cell r="G26">
            <v>8.0944615320349244E-4</v>
          </cell>
          <cell r="H26">
            <v>2.3502432377658076E-3</v>
          </cell>
          <cell r="I26">
            <v>1.0377517081486352E-3</v>
          </cell>
        </row>
        <row r="27">
          <cell r="A27" t="str">
            <v>D-RHNS_KEV_WOD_ELC_CHP</v>
          </cell>
          <cell r="B27" t="str">
            <v>VAR_fout</v>
          </cell>
          <cell r="C27" t="str">
            <v>ELC5</v>
          </cell>
          <cell r="D27"/>
          <cell r="E27"/>
          <cell r="F27"/>
          <cell r="G27">
            <v>8.1055225232089636E-4</v>
          </cell>
          <cell r="H27">
            <v>2.3521290326164708E-3</v>
          </cell>
          <cell r="I27">
            <v>1.038122614734401E-3</v>
          </cell>
        </row>
        <row r="28">
          <cell r="A28" t="str">
            <v>D-RHNS_KEV_WOD_ELC_CHP</v>
          </cell>
          <cell r="B28" t="str">
            <v>VAR_fin</v>
          </cell>
          <cell r="C28" t="str">
            <v>RHNS_KEV_WOD_ELC_CHP</v>
          </cell>
          <cell r="D28"/>
          <cell r="E28"/>
          <cell r="F28"/>
          <cell r="G28">
            <v>1.5935898881646519E-3</v>
          </cell>
          <cell r="H28">
            <v>4.6782177192776922E-3</v>
          </cell>
          <cell r="I28">
            <v>2.0536403646815725E-3</v>
          </cell>
          <cell r="J28"/>
          <cell r="K28"/>
        </row>
        <row r="29">
          <cell r="A29" t="str">
            <v>RHSA-WHWODBR</v>
          </cell>
          <cell r="B29" t="str">
            <v>VAR_fout</v>
          </cell>
          <cell r="C29" t="str">
            <v>RHSA-WHWOD</v>
          </cell>
          <cell r="D29">
            <v>0.52049754699814099</v>
          </cell>
          <cell r="E29">
            <v>0.59726538451389977</v>
          </cell>
          <cell r="F29">
            <v>1.2211204630642158</v>
          </cell>
          <cell r="G29">
            <v>1.2038061341949606</v>
          </cell>
          <cell r="H29">
            <v>1.0676337992685079</v>
          </cell>
          <cell r="I29">
            <v>0.85436607873861947</v>
          </cell>
          <cell r="J29"/>
          <cell r="K29"/>
        </row>
        <row r="30">
          <cell r="A30" t="str">
            <v>RHSA-WHWODBR</v>
          </cell>
          <cell r="B30" t="str">
            <v>VAR_fin</v>
          </cell>
          <cell r="C30" t="str">
            <v>RWOD</v>
          </cell>
          <cell r="D30">
            <v>1.0409950939962818</v>
          </cell>
          <cell r="E30">
            <v>1.1945307690278</v>
          </cell>
          <cell r="F30">
            <v>2.7962365599428951</v>
          </cell>
          <cell r="G30">
            <v>2.6746589117234567</v>
          </cell>
          <cell r="H30">
            <v>2.2604333418447755</v>
          </cell>
          <cell r="I30">
            <v>1.7076099820091282</v>
          </cell>
          <cell r="J30"/>
          <cell r="K30"/>
        </row>
        <row r="31">
          <cell r="A31" t="str">
            <v>RHSA-WHWODBR</v>
          </cell>
          <cell r="B31" t="str">
            <v>VAR_ncap</v>
          </cell>
          <cell r="C31" t="str">
            <v>-</v>
          </cell>
          <cell r="D31"/>
          <cell r="E31">
            <v>5.3862816570415702E-3</v>
          </cell>
          <cell r="F31">
            <v>4.0268245576224201E-2</v>
          </cell>
          <cell r="G31">
            <v>1.3852320301533899E-3</v>
          </cell>
          <cell r="H31">
            <v>4.7800276273641903E-2</v>
          </cell>
          <cell r="I31">
            <v>1.65317529953928E-2</v>
          </cell>
          <cell r="J31"/>
          <cell r="K31"/>
        </row>
        <row r="32">
          <cell r="A32" t="str">
            <v>RHSA-WHWODBR</v>
          </cell>
          <cell r="B32" t="str">
            <v>VAR_cap</v>
          </cell>
          <cell r="C32" t="str">
            <v>-</v>
          </cell>
          <cell r="D32">
            <v>3.5322010722483803E-2</v>
          </cell>
          <cell r="E32">
            <v>4.0707839251883093E-2</v>
          </cell>
          <cell r="F32">
            <v>8.0975082382997346E-2</v>
          </cell>
          <cell r="G32">
            <v>8.2359451203279782E-2</v>
          </cell>
          <cell r="H32">
            <v>7.9566383345362271E-2</v>
          </cell>
          <cell r="I32">
            <v>6.1241869228648479E-2</v>
          </cell>
          <cell r="J32"/>
          <cell r="K32"/>
        </row>
        <row r="33">
          <cell r="A33" t="str">
            <v>RHES-SHWODBR</v>
          </cell>
          <cell r="B33" t="str">
            <v>VAR_fout</v>
          </cell>
          <cell r="C33" t="str">
            <v>RHES-SHWOD</v>
          </cell>
          <cell r="D33">
            <v>4.3871772847024753</v>
          </cell>
          <cell r="E33">
            <v>5.0342843129018053</v>
          </cell>
          <cell r="F33">
            <v>5.373925500411147</v>
          </cell>
          <cell r="G33">
            <v>4.4810427139178772</v>
          </cell>
          <cell r="H33">
            <v>2.7587010544389736</v>
          </cell>
          <cell r="I33">
            <v>1.4778539110239612</v>
          </cell>
          <cell r="J33"/>
          <cell r="K33"/>
        </row>
        <row r="34">
          <cell r="A34" t="str">
            <v>RHES-SHWODBR</v>
          </cell>
          <cell r="B34" t="str">
            <v>VAR_fin</v>
          </cell>
          <cell r="C34" t="str">
            <v>RWOD</v>
          </cell>
          <cell r="D34">
            <v>6.0933017843089923</v>
          </cell>
          <cell r="E34">
            <v>6.9920615456969513</v>
          </cell>
          <cell r="F34">
            <v>7.5069265533289027</v>
          </cell>
          <cell r="G34">
            <v>6.1820807470387322</v>
          </cell>
          <cell r="H34">
            <v>3.7594935882919027</v>
          </cell>
          <cell r="I34">
            <v>1.9495373232470805</v>
          </cell>
          <cell r="J34"/>
        </row>
        <row r="35">
          <cell r="A35" t="str">
            <v>RHES-SHWODBR</v>
          </cell>
          <cell r="B35" t="str">
            <v>VAR_ncap</v>
          </cell>
          <cell r="C35" t="str">
            <v>-</v>
          </cell>
          <cell r="D35"/>
          <cell r="E35">
            <v>5.2335271763123997E-2</v>
          </cell>
          <cell r="F35">
            <v>2.7428939779279401E-2</v>
          </cell>
          <cell r="G35">
            <v>6.6005182998245404E-7</v>
          </cell>
          <cell r="H35">
            <v>7.8366734381003E-2</v>
          </cell>
          <cell r="I35">
            <v>2.6476112954387002E-3</v>
          </cell>
          <cell r="J35"/>
        </row>
        <row r="36">
          <cell r="A36" t="str">
            <v>RHES-SHWODBR</v>
          </cell>
          <cell r="B36" t="str">
            <v>VAR_cap</v>
          </cell>
          <cell r="C36" t="str">
            <v>-</v>
          </cell>
          <cell r="D36">
            <v>0.354428052062076</v>
          </cell>
          <cell r="E36">
            <v>0.40676308186798371</v>
          </cell>
          <cell r="F36">
            <v>0.43419174637824193</v>
          </cell>
          <cell r="G36">
            <v>0.43418479199975035</v>
          </cell>
          <cell r="H36">
            <v>0.22533327417240567</v>
          </cell>
          <cell r="I36">
            <v>0.11963184065755429</v>
          </cell>
          <cell r="J36"/>
        </row>
        <row r="37">
          <cell r="A37" t="str">
            <v>D-EH2</v>
          </cell>
          <cell r="B37" t="str">
            <v>VAR_fout</v>
          </cell>
          <cell r="C37" t="str">
            <v>EH2</v>
          </cell>
          <cell r="D37"/>
          <cell r="E37"/>
          <cell r="F37"/>
          <cell r="G37"/>
          <cell r="H37">
            <v>1.3591357426829069E-2</v>
          </cell>
          <cell r="I37">
            <v>1.2920616968162272E-2</v>
          </cell>
          <cell r="J37"/>
          <cell r="K37"/>
          <cell r="L37"/>
          <cell r="M37"/>
        </row>
        <row r="38">
          <cell r="A38" t="str">
            <v>D-EH2</v>
          </cell>
          <cell r="B38" t="str">
            <v>VAR_fin</v>
          </cell>
          <cell r="C38" t="str">
            <v>H2</v>
          </cell>
          <cell r="D38"/>
          <cell r="E38"/>
          <cell r="F38"/>
          <cell r="G38"/>
          <cell r="H38">
            <v>1.3728643865483911E-2</v>
          </cell>
          <cell r="I38">
            <v>1.3051128250668956E-2</v>
          </cell>
          <cell r="J38"/>
          <cell r="K38"/>
          <cell r="L38"/>
          <cell r="M38"/>
        </row>
        <row r="39">
          <cell r="A39" t="str">
            <v>D-EH2</v>
          </cell>
          <cell r="B39" t="str">
            <v>VAR_ncap</v>
          </cell>
          <cell r="C39" t="str">
            <v>-</v>
          </cell>
          <cell r="D39"/>
          <cell r="E39"/>
          <cell r="F39"/>
          <cell r="G39">
            <v>2.4707082959296399E-6</v>
          </cell>
          <cell r="H39">
            <v>2.2773250319958801E-3</v>
          </cell>
          <cell r="I39">
            <v>3.00107601764876E-5</v>
          </cell>
        </row>
        <row r="40">
          <cell r="A40" t="str">
            <v>D-EH2</v>
          </cell>
          <cell r="B40" t="str">
            <v>VAR_cap</v>
          </cell>
          <cell r="C40" t="str">
            <v>-</v>
          </cell>
          <cell r="D40"/>
          <cell r="E40"/>
          <cell r="F40"/>
          <cell r="G40">
            <v>2.4707082959296399E-6</v>
          </cell>
          <cell r="H40">
            <v>2.2870963701709401E-3</v>
          </cell>
          <cell r="I40">
            <v>2.31710713034743E-3</v>
          </cell>
        </row>
        <row r="41">
          <cell r="A41" t="str">
            <v>SCOM-SHWODBR</v>
          </cell>
          <cell r="B41" t="str">
            <v>VAR_fout</v>
          </cell>
          <cell r="C41" t="str">
            <v>SCOM-SHWOD</v>
          </cell>
          <cell r="D41">
            <v>6.173556207459117</v>
          </cell>
          <cell r="E41">
            <v>5.0514960962781865</v>
          </cell>
          <cell r="F41">
            <v>7.1142201658759747</v>
          </cell>
          <cell r="G41">
            <v>6.789672862975773</v>
          </cell>
          <cell r="H41">
            <v>5.0791109759935136</v>
          </cell>
          <cell r="I41">
            <v>3.5070307934725204</v>
          </cell>
          <cell r="J41"/>
          <cell r="K41"/>
        </row>
        <row r="42">
          <cell r="A42" t="str">
            <v>SCOM-SHWODBR</v>
          </cell>
          <cell r="B42" t="str">
            <v>VAR_fin</v>
          </cell>
          <cell r="C42" t="str">
            <v>SWOD</v>
          </cell>
          <cell r="D42">
            <v>8.5743836214710019</v>
          </cell>
          <cell r="E42">
            <v>7.0159668003863764</v>
          </cell>
          <cell r="F42">
            <v>10.535524397046791</v>
          </cell>
          <cell r="G42">
            <v>10.010655859705556</v>
          </cell>
          <cell r="H42">
            <v>7.4588270209558445</v>
          </cell>
          <cell r="I42">
            <v>4.9886755749393394</v>
          </cell>
          <cell r="J42"/>
          <cell r="K42"/>
        </row>
        <row r="43">
          <cell r="A43" t="str">
            <v>SCOM-SHWODBR</v>
          </cell>
          <cell r="B43" t="str">
            <v>VAR_ncap</v>
          </cell>
          <cell r="C43" t="str">
            <v>-</v>
          </cell>
          <cell r="D43">
            <v>1.03130495278186E-5</v>
          </cell>
          <cell r="E43">
            <v>5.9003618522938404E-6</v>
          </cell>
          <cell r="F43">
            <v>7.1638008793067295E-2</v>
          </cell>
          <cell r="G43">
            <v>3.8810637313676096E-6</v>
          </cell>
          <cell r="H43">
            <v>0.11484340321750799</v>
          </cell>
          <cell r="I43">
            <v>8.0179361870962196E-2</v>
          </cell>
          <cell r="J43"/>
          <cell r="K43"/>
        </row>
        <row r="44">
          <cell r="A44" t="str">
            <v>SCOM-SHWODBR</v>
          </cell>
          <cell r="B44" t="str">
            <v>VAR_cap</v>
          </cell>
          <cell r="C44" t="str">
            <v>-</v>
          </cell>
          <cell r="D44">
            <v>0.4784305908666398</v>
          </cell>
          <cell r="E44">
            <v>0.47843504641151685</v>
          </cell>
          <cell r="F44">
            <v>0.55007232806892747</v>
          </cell>
          <cell r="G44">
            <v>0.55005007731931521</v>
          </cell>
          <cell r="H44">
            <v>0.39558654739802424</v>
          </cell>
          <cell r="I44">
            <v>0.27690959260588527</v>
          </cell>
          <cell r="J44"/>
          <cell r="K44"/>
          <cell r="L44"/>
        </row>
        <row r="45">
          <cell r="A45" t="str">
            <v>ITOT-SWHLTHCHP</v>
          </cell>
          <cell r="B45" t="str">
            <v>VAR_fout</v>
          </cell>
          <cell r="C45" t="str">
            <v>ITOT-SWH</v>
          </cell>
          <cell r="D45">
            <v>5.1850796986844703</v>
          </cell>
          <cell r="E45">
            <v>5.5675700102862704</v>
          </cell>
          <cell r="F45">
            <v>5.6657358945418919</v>
          </cell>
          <cell r="G45">
            <v>6.964634327949347</v>
          </cell>
          <cell r="H45">
            <v>7.9958190569052858</v>
          </cell>
          <cell r="I45">
            <v>11.865741893586454</v>
          </cell>
          <cell r="J45"/>
          <cell r="K45"/>
        </row>
        <row r="46">
          <cell r="A46" t="str">
            <v>ITOT-SWHLTHCHP</v>
          </cell>
          <cell r="B46" t="str">
            <v>VAR_fin</v>
          </cell>
          <cell r="C46" t="str">
            <v>ITOTLTHCHPC</v>
          </cell>
          <cell r="D46">
            <v>5.1850796986844703</v>
          </cell>
          <cell r="E46">
            <v>5.5675700102862704</v>
          </cell>
          <cell r="F46">
            <v>5.6657358945418919</v>
          </cell>
          <cell r="G46">
            <v>6.964634327949347</v>
          </cell>
          <cell r="H46">
            <v>7.9958190569052858</v>
          </cell>
          <cell r="I46">
            <v>11.865741893586454</v>
          </cell>
          <cell r="J46"/>
          <cell r="K46"/>
        </row>
        <row r="47">
          <cell r="A47" t="str">
            <v>ITOT-SWHLTHCHP</v>
          </cell>
          <cell r="B47" t="str">
            <v>VAR_fin</v>
          </cell>
          <cell r="C47" t="str">
            <v>ITOT_LTH_CHP_ON</v>
          </cell>
          <cell r="D47">
            <v>5.6086672094919523</v>
          </cell>
          <cell r="E47">
            <v>6.0095329104085193</v>
          </cell>
          <cell r="F47">
            <v>6.0959481920305816</v>
          </cell>
          <cell r="G47">
            <v>7.4537751181101548</v>
          </cell>
          <cell r="H47">
            <v>8.4676601103669249</v>
          </cell>
          <cell r="I47">
            <v>12.490254624827848</v>
          </cell>
          <cell r="J47"/>
          <cell r="K47"/>
        </row>
        <row r="48">
          <cell r="A48" t="str">
            <v>ITOT-SWHLTHCHP</v>
          </cell>
          <cell r="B48" t="str">
            <v>VAR_ncap</v>
          </cell>
          <cell r="C48" t="str">
            <v>-</v>
          </cell>
          <cell r="D48"/>
          <cell r="E48">
            <v>0.125721592464829</v>
          </cell>
          <cell r="F48">
            <v>0.15813542215700499</v>
          </cell>
          <cell r="G48">
            <v>0.11527973846172899</v>
          </cell>
          <cell r="H48">
            <v>0.48117590685024197</v>
          </cell>
          <cell r="I48">
            <v>0.69671265569478202</v>
          </cell>
          <cell r="J48"/>
          <cell r="K48"/>
        </row>
        <row r="49">
          <cell r="A49" t="str">
            <v>ITOT-SWHLTHCHP</v>
          </cell>
          <cell r="B49" t="str">
            <v>VAR_cap</v>
          </cell>
          <cell r="C49" t="str">
            <v>-</v>
          </cell>
          <cell r="D49">
            <v>0.62661755442165901</v>
          </cell>
          <cell r="E49">
            <v>0.47663281784547495</v>
          </cell>
          <cell r="F49">
            <v>0.483423648819236</v>
          </cell>
          <cell r="G49">
            <v>0.42422896331381499</v>
          </cell>
          <cell r="H49">
            <v>0.70414737501105407</v>
          </cell>
          <cell r="I49">
            <v>1.0607329277278534</v>
          </cell>
          <cell r="J49"/>
          <cell r="K49"/>
        </row>
        <row r="50">
          <cell r="A50" t="str">
            <v>RHSA-WHSTG-NGAHP</v>
          </cell>
          <cell r="B50" t="str">
            <v>VAR_fout</v>
          </cell>
          <cell r="C50" t="str">
            <v>RHSA-WHANGAH</v>
          </cell>
          <cell r="D50"/>
          <cell r="E50"/>
          <cell r="F50">
            <v>4.9511441598420322E-3</v>
          </cell>
          <cell r="G50">
            <v>6.3932039762896855E-3</v>
          </cell>
          <cell r="H50">
            <v>1.453514209269764E-2</v>
          </cell>
          <cell r="I50">
            <v>5.7025416706886718E-2</v>
          </cell>
          <cell r="J50"/>
          <cell r="K50"/>
        </row>
        <row r="51">
          <cell r="A51" t="str">
            <v>RHSA-WHSTG-NGAHP</v>
          </cell>
          <cell r="B51" t="str">
            <v>VAR_fin</v>
          </cell>
          <cell r="C51" t="str">
            <v>RHSA-WHANGAH</v>
          </cell>
          <cell r="D51"/>
          <cell r="E51"/>
          <cell r="F51">
            <v>4.9915301283165008E-3</v>
          </cell>
          <cell r="G51">
            <v>6.4278320283937982E-3</v>
          </cell>
          <cell r="H51">
            <v>1.4545195888236108E-2</v>
          </cell>
          <cell r="I51">
            <v>5.7045565193255758E-2</v>
          </cell>
          <cell r="J51"/>
          <cell r="K51"/>
        </row>
        <row r="52">
          <cell r="A52" t="str">
            <v>RHSA-WHSTG-NGAHP</v>
          </cell>
          <cell r="B52" t="str">
            <v>VAR_ncap</v>
          </cell>
          <cell r="C52" t="str">
            <v>-</v>
          </cell>
          <cell r="D52">
            <v>3.3105659787090701E-5</v>
          </cell>
          <cell r="E52">
            <v>3.9807369325241403E-5</v>
          </cell>
          <cell r="F52">
            <v>1.72484682244398E-2</v>
          </cell>
          <cell r="G52">
            <v>3.50285265462143E-2</v>
          </cell>
          <cell r="H52">
            <v>4.9751481528805097E-2</v>
          </cell>
          <cell r="I52">
            <v>6.4191745685025295E-2</v>
          </cell>
          <cell r="J52"/>
          <cell r="K52"/>
        </row>
        <row r="53">
          <cell r="A53" t="str">
            <v>RHSA-WHSTG-NGAHP</v>
          </cell>
          <cell r="B53" t="str">
            <v>VAR_cap</v>
          </cell>
          <cell r="C53" t="str">
            <v>-</v>
          </cell>
          <cell r="D53">
            <v>3.3109999627151207E-5</v>
          </cell>
          <cell r="E53">
            <v>1.4117549893310127E-6</v>
          </cell>
          <cell r="F53">
            <v>1.7227925310367393E-2</v>
          </cell>
          <cell r="G53">
            <v>5.222410474113575E-2</v>
          </cell>
          <cell r="H53">
            <v>9.9851110429098541E-2</v>
          </cell>
          <cell r="I53">
            <v>0.11002676866744299</v>
          </cell>
          <cell r="J53"/>
          <cell r="K53"/>
        </row>
        <row r="54">
          <cell r="A54" t="str">
            <v>D-RES_LTH</v>
          </cell>
          <cell r="B54" t="str">
            <v>VAR_fout</v>
          </cell>
          <cell r="C54" t="str">
            <v>RHNS_LTH_DH</v>
          </cell>
          <cell r="D54"/>
          <cell r="E54">
            <v>5.4494206819085053E-2</v>
          </cell>
          <cell r="F54">
            <v>3.1396638576644043E-3</v>
          </cell>
          <cell r="G54">
            <v>0.16251929928742756</v>
          </cell>
          <cell r="H54">
            <v>0.18756486403175521</v>
          </cell>
          <cell r="I54">
            <v>0.21885912346090125</v>
          </cell>
          <cell r="J54"/>
          <cell r="K54"/>
        </row>
        <row r="55">
          <cell r="A55" t="str">
            <v>D-RES_LTH</v>
          </cell>
          <cell r="B55" t="str">
            <v>VAR_fout</v>
          </cell>
          <cell r="C55" t="str">
            <v>RHEM_LTH_DH</v>
          </cell>
          <cell r="D55">
            <v>3.3978834453897351</v>
          </cell>
          <cell r="E55">
            <v>3.8270207024761849</v>
          </cell>
          <cell r="F55">
            <v>4.9487658471996054</v>
          </cell>
          <cell r="G55">
            <v>5.8636551532264498</v>
          </cell>
          <cell r="H55">
            <v>6.3626025521745371</v>
          </cell>
          <cell r="I55">
            <v>5.7730019155361179</v>
          </cell>
          <cell r="J55"/>
          <cell r="K55"/>
        </row>
        <row r="56">
          <cell r="A56" t="str">
            <v>D-RES_LTH</v>
          </cell>
          <cell r="B56" t="str">
            <v>VAR_fout</v>
          </cell>
          <cell r="C56" t="str">
            <v>RHES_LTH_DH</v>
          </cell>
          <cell r="D56">
            <v>3.1771862380494311</v>
          </cell>
          <cell r="E56">
            <v>3.5392063364834305</v>
          </cell>
          <cell r="F56">
            <v>1.596385454408487</v>
          </cell>
          <cell r="G56">
            <v>2.1446407188930676</v>
          </cell>
          <cell r="H56">
            <v>2.5101595867218913</v>
          </cell>
          <cell r="I56">
            <v>2.3949141700106802</v>
          </cell>
          <cell r="J56"/>
          <cell r="K56"/>
        </row>
        <row r="57">
          <cell r="A57" t="str">
            <v>D-RES_LTH</v>
          </cell>
          <cell r="B57" t="str">
            <v>VAR_fout</v>
          </cell>
          <cell r="C57" t="str">
            <v>RHSA_LTH</v>
          </cell>
          <cell r="D57">
            <v>1.7649559287059553</v>
          </cell>
          <cell r="E57">
            <v>1.8925883002533737</v>
          </cell>
          <cell r="F57">
            <v>1.6950231281406949</v>
          </cell>
          <cell r="G57">
            <v>2.5610443776885758</v>
          </cell>
          <cell r="H57">
            <v>3.1232196419094138</v>
          </cell>
          <cell r="I57">
            <v>3.7211779763339763</v>
          </cell>
          <cell r="J57"/>
          <cell r="K57"/>
        </row>
        <row r="58">
          <cell r="A58" t="str">
            <v>D-RES_LTH</v>
          </cell>
          <cell r="B58" t="str">
            <v>VAR_fout</v>
          </cell>
          <cell r="C58" t="str">
            <v>RHNM_LTH_DH</v>
          </cell>
          <cell r="D58"/>
          <cell r="E58">
            <v>0.35012880472597374</v>
          </cell>
          <cell r="F58">
            <v>5.7026326992900229E-2</v>
          </cell>
          <cell r="G58">
            <v>0.25239216420580352</v>
          </cell>
          <cell r="H58">
            <v>0.34601211688965439</v>
          </cell>
          <cell r="I58">
            <v>0.42909040898763701</v>
          </cell>
          <cell r="J58"/>
          <cell r="K58"/>
        </row>
        <row r="59">
          <cell r="A59" t="str">
            <v>D-RES_LTH</v>
          </cell>
          <cell r="B59" t="str">
            <v>VAR_fin</v>
          </cell>
          <cell r="C59" t="str">
            <v>LTH</v>
          </cell>
          <cell r="D59">
            <v>9.2187563600787747</v>
          </cell>
          <cell r="E59">
            <v>10.681426139629743</v>
          </cell>
          <cell r="F59">
            <v>9.1543204363523731</v>
          </cell>
          <cell r="G59">
            <v>12.069735906409933</v>
          </cell>
          <cell r="H59">
            <v>13.666920130457147</v>
          </cell>
          <cell r="I59">
            <v>13.57564388554044</v>
          </cell>
          <cell r="J59"/>
          <cell r="K59"/>
        </row>
        <row r="60">
          <cell r="A60" t="str">
            <v>D-RES_LTH</v>
          </cell>
          <cell r="B60" t="str">
            <v>VAR_ncap</v>
          </cell>
          <cell r="C60" t="str">
            <v>-</v>
          </cell>
          <cell r="D60">
            <v>0.62770645747949005</v>
          </cell>
          <cell r="E60">
            <v>1.07661759523588E-6</v>
          </cell>
          <cell r="F60">
            <v>5.8798562152693704E-7</v>
          </cell>
          <cell r="G60">
            <v>5.5127289299837301E-7</v>
          </cell>
          <cell r="H60">
            <v>2.8436606213853599E-3</v>
          </cell>
          <cell r="I60">
            <v>5.7020573719718198E-7</v>
          </cell>
          <cell r="J60"/>
          <cell r="K60"/>
        </row>
        <row r="61">
          <cell r="A61" t="str">
            <v>D-RES_LTH</v>
          </cell>
          <cell r="B61" t="str">
            <v>VAR_cap</v>
          </cell>
          <cell r="C61" t="str">
            <v>-</v>
          </cell>
          <cell r="D61">
            <v>0.62770645747949005</v>
          </cell>
          <cell r="E61">
            <v>0.62770753409708502</v>
          </cell>
          <cell r="F61">
            <v>0.62770812208270599</v>
          </cell>
          <cell r="G61">
            <v>0.62770867335559899</v>
          </cell>
          <cell r="H61">
            <v>0.63056380270349799</v>
          </cell>
          <cell r="I61">
            <v>0.63056437290923495</v>
          </cell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ELC5</v>
          </cell>
          <cell r="D62">
            <v>1.4855498564769825E-2</v>
          </cell>
          <cell r="E62">
            <v>2.5993193346915788E-3</v>
          </cell>
          <cell r="F62">
            <v>7.567950123716265E-3</v>
          </cell>
          <cell r="G62">
            <v>2.6330297796759148E-3</v>
          </cell>
          <cell r="H62">
            <v>3.7132677839622329E-3</v>
          </cell>
          <cell r="I62"/>
          <cell r="J62"/>
          <cell r="K62"/>
        </row>
        <row r="63">
          <cell r="A63" t="str">
            <v>D-RHEM_NKEV_GAS_ELC_CHP</v>
          </cell>
          <cell r="B63" t="str">
            <v>VAR_fout</v>
          </cell>
          <cell r="C63" t="str">
            <v>RHEM_ELC</v>
          </cell>
          <cell r="D63">
            <v>1.4958604854105821E-2</v>
          </cell>
          <cell r="E63">
            <v>2.5972347918037531E-3</v>
          </cell>
          <cell r="F63">
            <v>7.5432217939188128E-3</v>
          </cell>
          <cell r="G63">
            <v>2.6298231781791193E-3</v>
          </cell>
          <cell r="H63">
            <v>3.7085000673020541E-3</v>
          </cell>
          <cell r="I63"/>
          <cell r="J63"/>
        </row>
        <row r="64">
          <cell r="A64" t="str">
            <v>D-RHEM_NKEV_GAS_ELC_CHP</v>
          </cell>
          <cell r="B64" t="str">
            <v>VAR_fin</v>
          </cell>
          <cell r="C64" t="str">
            <v>RHEM_NKEV_GAS_ELC_CHP</v>
          </cell>
          <cell r="D64">
            <v>2.9814103418875665E-2</v>
          </cell>
          <cell r="E64">
            <v>5.1965541264953358E-3</v>
          </cell>
          <cell r="F64">
            <v>1.5081305658109509E-2</v>
          </cell>
          <cell r="G64">
            <v>5.2375325692198393E-3</v>
          </cell>
          <cell r="H64">
            <v>7.3876283450836589E-3</v>
          </cell>
          <cell r="I64"/>
          <cell r="J64"/>
        </row>
        <row r="65">
          <cell r="A65" t="str">
            <v>SCOM-SHDEM</v>
          </cell>
          <cell r="B65" t="str">
            <v>VAR_fout</v>
          </cell>
          <cell r="C65" t="str">
            <v>SCOM-SHD</v>
          </cell>
          <cell r="D65">
            <v>73.238463013552675</v>
          </cell>
          <cell r="E65">
            <v>78.574839900410453</v>
          </cell>
          <cell r="F65">
            <v>62.63465687022007</v>
          </cell>
          <cell r="G65">
            <v>60.956079218835839</v>
          </cell>
          <cell r="H65">
            <v>59.92606609554791</v>
          </cell>
          <cell r="I65">
            <v>58.43618614788523</v>
          </cell>
          <cell r="J65"/>
        </row>
        <row r="66">
          <cell r="A66" t="str">
            <v>SCOM-SHDEM</v>
          </cell>
          <cell r="B66" t="str">
            <v>VAR_fin</v>
          </cell>
          <cell r="C66" t="str">
            <v>SCOM-SHCON</v>
          </cell>
          <cell r="D66"/>
          <cell r="E66">
            <v>9.1177587742505892</v>
          </cell>
          <cell r="F66">
            <v>2.3226311208091919</v>
          </cell>
          <cell r="G66">
            <v>4.7028578451096115</v>
          </cell>
          <cell r="H66">
            <v>9.2063972692860148</v>
          </cell>
          <cell r="I66">
            <v>13.878506080759701</v>
          </cell>
          <cell r="J66"/>
        </row>
        <row r="67">
          <cell r="A67" t="str">
            <v>SCOM-SHDEM</v>
          </cell>
          <cell r="B67" t="str">
            <v>VAR_fin</v>
          </cell>
          <cell r="C67" t="str">
            <v>SCOM-SHWOD</v>
          </cell>
          <cell r="D67">
            <v>6.173556207459117</v>
          </cell>
          <cell r="E67">
            <v>5.0514960962781865</v>
          </cell>
          <cell r="F67">
            <v>7.1142201658759747</v>
          </cell>
          <cell r="G67">
            <v>6.789672862975773</v>
          </cell>
          <cell r="H67">
            <v>5.0791109759935136</v>
          </cell>
          <cell r="I67">
            <v>3.5070307934725204</v>
          </cell>
          <cell r="J67"/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SCOM-SHLTHD</v>
          </cell>
          <cell r="D68">
            <v>5.5539149876685663</v>
          </cell>
          <cell r="E68">
            <v>6.015942368074354</v>
          </cell>
          <cell r="F68">
            <v>4.8686410392726991</v>
          </cell>
          <cell r="G68">
            <v>6.2703150706273947</v>
          </cell>
          <cell r="H68">
            <v>7.6521708657904375</v>
          </cell>
          <cell r="I68">
            <v>7.4196094812798092</v>
          </cell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SCOM-SHELCB</v>
          </cell>
          <cell r="D69">
            <v>2.3940445883816097</v>
          </cell>
          <cell r="E69">
            <v>0.19655918300557612</v>
          </cell>
          <cell r="F69">
            <v>0.52165002287214646</v>
          </cell>
          <cell r="G69">
            <v>0.30441553241545072</v>
          </cell>
          <cell r="H69">
            <v>0.21938463942942713</v>
          </cell>
          <cell r="I69">
            <v>0.15846642746152415</v>
          </cell>
          <cell r="J69"/>
        </row>
        <row r="70">
          <cell r="A70" t="str">
            <v>SCOM-SHDEM</v>
          </cell>
          <cell r="B70" t="str">
            <v>VAR_fin</v>
          </cell>
          <cell r="C70" t="str">
            <v>SCOM-SHBIO</v>
          </cell>
          <cell r="D70">
            <v>1.2230838256329923</v>
          </cell>
          <cell r="E70">
            <v>1.3407880997314916</v>
          </cell>
          <cell r="F70"/>
          <cell r="G70"/>
          <cell r="H70"/>
          <cell r="I70"/>
          <cell r="J70"/>
        </row>
        <row r="71">
          <cell r="A71" t="str">
            <v>SCOM-SHDEM</v>
          </cell>
          <cell r="B71" t="str">
            <v>VAR_fin</v>
          </cell>
          <cell r="C71" t="str">
            <v>SCOM-SHELCH</v>
          </cell>
          <cell r="D71">
            <v>4.2612182525414743</v>
          </cell>
          <cell r="E71">
            <v>4.6176583890567588</v>
          </cell>
          <cell r="F71">
            <v>4.7060837675850706</v>
          </cell>
          <cell r="G71">
            <v>8.0293587456499687</v>
          </cell>
          <cell r="H71">
            <v>15.308591841591577</v>
          </cell>
          <cell r="I71">
            <v>17.824406482259967</v>
          </cell>
          <cell r="J71"/>
          <cell r="K71"/>
        </row>
        <row r="72">
          <cell r="A72" t="str">
            <v>SCOM-SHDEM</v>
          </cell>
          <cell r="B72" t="str">
            <v>VAR_fin</v>
          </cell>
          <cell r="C72" t="str">
            <v>SCOM-SHPLT</v>
          </cell>
          <cell r="D72">
            <v>1.8770847356043596</v>
          </cell>
          <cell r="E72">
            <v>2.1600929253047449</v>
          </cell>
          <cell r="F72">
            <v>0.3783118770640318</v>
          </cell>
          <cell r="G72">
            <v>0.48317692086810543</v>
          </cell>
          <cell r="H72">
            <v>0.72702472074804825</v>
          </cell>
          <cell r="I72">
            <v>0.73139638269459206</v>
          </cell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SCOM-SHLTHC-NGA</v>
          </cell>
          <cell r="D73">
            <v>0.68566323180498234</v>
          </cell>
          <cell r="E73">
            <v>0.74270579183185814</v>
          </cell>
          <cell r="F73"/>
          <cell r="G73"/>
          <cell r="H73"/>
          <cell r="I73"/>
          <cell r="J73"/>
        </row>
        <row r="74">
          <cell r="A74" t="str">
            <v>SCOM-SHDEM</v>
          </cell>
          <cell r="B74" t="str">
            <v>VAR_fin</v>
          </cell>
          <cell r="C74" t="str">
            <v>SCOM-SHSOL</v>
          </cell>
          <cell r="D74">
            <v>0.62701560483109564</v>
          </cell>
          <cell r="E74">
            <v>0.68734584145975108</v>
          </cell>
          <cell r="F74">
            <v>0.5604739886420923</v>
          </cell>
          <cell r="G74">
            <v>0.61455589576890701</v>
          </cell>
          <cell r="H74">
            <v>0.75050580896673524</v>
          </cell>
          <cell r="I74">
            <v>0.79616675268798454</v>
          </cell>
          <cell r="J74"/>
        </row>
        <row r="75">
          <cell r="A75" t="str">
            <v>SCOM-SHDEM</v>
          </cell>
          <cell r="B75" t="str">
            <v>VAR_fin</v>
          </cell>
          <cell r="C75" t="str">
            <v>SCOM-SHNGA</v>
          </cell>
          <cell r="D75">
            <v>24.189727369452513</v>
          </cell>
          <cell r="E75">
            <v>25.326931147648423</v>
          </cell>
          <cell r="F75">
            <v>19.52779915920188</v>
          </cell>
          <cell r="G75">
            <v>14.650133280815719</v>
          </cell>
          <cell r="H75">
            <v>5.3679721596214955</v>
          </cell>
          <cell r="I75">
            <v>2.1500194880133003</v>
          </cell>
          <cell r="J75"/>
        </row>
        <row r="76">
          <cell r="A76" t="str">
            <v>SCOM-SHDEM</v>
          </cell>
          <cell r="B76" t="str">
            <v>VAR_fin</v>
          </cell>
          <cell r="C76" t="str">
            <v>SCOM-SHNGAH</v>
          </cell>
          <cell r="D76"/>
          <cell r="E76"/>
          <cell r="F76">
            <v>2.4214254928036336</v>
          </cell>
          <cell r="G76">
            <v>6.7545525589503228</v>
          </cell>
          <cell r="H76">
            <v>11.316886147755113</v>
          </cell>
          <cell r="I76">
            <v>11.647977892155453</v>
          </cell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SCOM-SHLTHC-BIO</v>
          </cell>
          <cell r="D77">
            <v>1.4100780552440522</v>
          </cell>
          <cell r="E77">
            <v>1.5273801209993056</v>
          </cell>
          <cell r="F77"/>
          <cell r="G77"/>
          <cell r="H77"/>
          <cell r="I77"/>
          <cell r="J77"/>
          <cell r="K77"/>
        </row>
        <row r="78">
          <cell r="A78" t="str">
            <v>SCOM-SHDEM</v>
          </cell>
          <cell r="B78" t="str">
            <v>VAR_fin</v>
          </cell>
          <cell r="C78" t="str">
            <v>SCOM-SHLFO</v>
          </cell>
          <cell r="D78">
            <v>24.843076154931914</v>
          </cell>
          <cell r="E78">
            <v>21.790181162769422</v>
          </cell>
          <cell r="F78">
            <v>20.213420236093356</v>
          </cell>
          <cell r="G78">
            <v>12.357040505654568</v>
          </cell>
          <cell r="H78">
            <v>4.2980216663655613</v>
          </cell>
          <cell r="I78">
            <v>0.32260636710036295</v>
          </cell>
          <cell r="J78"/>
          <cell r="K78"/>
        </row>
        <row r="79">
          <cell r="A79" t="str">
            <v>ITOT-SWHSTG-NGAHP</v>
          </cell>
          <cell r="B79" t="str">
            <v>VAR_fout</v>
          </cell>
          <cell r="C79" t="str">
            <v>ITOT-SWHANGAH</v>
          </cell>
          <cell r="D79">
            <v>1.3505796333784087E-3</v>
          </cell>
          <cell r="E79">
            <v>2.7402921688016628E-3</v>
          </cell>
          <cell r="F79">
            <v>3.6015109430921947E-3</v>
          </cell>
          <cell r="G79">
            <v>1.1798355083909187E-3</v>
          </cell>
          <cell r="H79">
            <v>2.1070198550090574E-3</v>
          </cell>
          <cell r="I79">
            <v>3.2563662142761412E-3</v>
          </cell>
          <cell r="J79"/>
          <cell r="K79"/>
        </row>
        <row r="80">
          <cell r="A80" t="str">
            <v>ITOT-SWHSTG-NGAHP</v>
          </cell>
          <cell r="B80" t="str">
            <v>VAR_fin</v>
          </cell>
          <cell r="C80" t="str">
            <v>ITOT-SWHANGAH</v>
          </cell>
          <cell r="D80">
            <v>1.3505796333784087E-3</v>
          </cell>
          <cell r="E80">
            <v>2.7402921688016628E-3</v>
          </cell>
          <cell r="F80">
            <v>4.6344096496517499E-3</v>
          </cell>
          <cell r="G80">
            <v>1.3693207111674331E-3</v>
          </cell>
          <cell r="H80">
            <v>2.4367544475488879E-3</v>
          </cell>
          <cell r="I80">
            <v>3.5807820481961704E-3</v>
          </cell>
          <cell r="J80"/>
          <cell r="K80"/>
        </row>
        <row r="81">
          <cell r="A81" t="str">
            <v>ITOT-SWHSTG-NGAHP</v>
          </cell>
          <cell r="B81" t="str">
            <v>VAR_ncap</v>
          </cell>
          <cell r="C81" t="str">
            <v>-</v>
          </cell>
          <cell r="D81">
            <v>7.1543096301836199E-3</v>
          </cell>
          <cell r="E81">
            <v>1.97968648370839E-5</v>
          </cell>
          <cell r="F81">
            <v>9.2834257897951705E-5</v>
          </cell>
          <cell r="G81">
            <v>3.57760781190679E-5</v>
          </cell>
          <cell r="H81">
            <v>2.18596696504778E-4</v>
          </cell>
          <cell r="I81">
            <v>2.0344343318113E-4</v>
          </cell>
          <cell r="J81"/>
          <cell r="K81"/>
        </row>
        <row r="82">
          <cell r="A82" t="str">
            <v>ITOT-SWHSTG-NGAHP</v>
          </cell>
          <cell r="B82" t="str">
            <v>VAR_cap</v>
          </cell>
          <cell r="C82" t="str">
            <v>-</v>
          </cell>
          <cell r="D82">
            <v>7.1543096301836199E-3</v>
          </cell>
          <cell r="E82">
            <v>5.6998676922419972E-5</v>
          </cell>
          <cell r="F82">
            <v>3.5549983387769997E-4</v>
          </cell>
          <cell r="G82">
            <v>2.9460695233815993E-4</v>
          </cell>
          <cell r="H82">
            <v>2.9059071075616201E-4</v>
          </cell>
          <cell r="I82">
            <v>2.8103887842053103E-4</v>
          </cell>
          <cell r="J82"/>
        </row>
        <row r="83">
          <cell r="A83" t="str">
            <v>ITOT-STG-ELCSPEC</v>
          </cell>
          <cell r="B83" t="str">
            <v>VAR_fout</v>
          </cell>
          <cell r="C83" t="str">
            <v>ITOT-ELS</v>
          </cell>
          <cell r="D83"/>
          <cell r="E83">
            <v>8.0761176011770047E-2</v>
          </cell>
          <cell r="F83">
            <v>0.10179774115056579</v>
          </cell>
          <cell r="G83">
            <v>0.14965180737676784</v>
          </cell>
          <cell r="H83">
            <v>0.58990856943374659</v>
          </cell>
          <cell r="I83">
            <v>0.59198196077767151</v>
          </cell>
          <cell r="J83"/>
          <cell r="K83"/>
        </row>
        <row r="84">
          <cell r="A84" t="str">
            <v>ITOT-STG-ELCSPEC</v>
          </cell>
          <cell r="B84" t="str">
            <v>VAR_fin</v>
          </cell>
          <cell r="C84" t="str">
            <v>ITOT-ELS</v>
          </cell>
          <cell r="D84"/>
          <cell r="E84">
            <v>8.0767888176599051E-2</v>
          </cell>
          <cell r="F84">
            <v>0.10180428214907848</v>
          </cell>
          <cell r="G84">
            <v>0.14965650528097649</v>
          </cell>
          <cell r="H84">
            <v>0.58991739442755542</v>
          </cell>
          <cell r="I84">
            <v>0.59198621548324593</v>
          </cell>
          <cell r="J84"/>
          <cell r="K84"/>
        </row>
        <row r="85">
          <cell r="A85" t="str">
            <v>ITOT-STG-ELCSPEC</v>
          </cell>
          <cell r="B85" t="str">
            <v>VAR_ncap</v>
          </cell>
          <cell r="C85" t="str">
            <v>-</v>
          </cell>
          <cell r="D85"/>
          <cell r="E85">
            <v>3.0539077781466702E-3</v>
          </cell>
          <cell r="F85">
            <v>7.3099231976183504E-4</v>
          </cell>
          <cell r="G85">
            <v>1.5372387678570601E-3</v>
          </cell>
          <cell r="H85">
            <v>1.9944254519477001E-2</v>
          </cell>
          <cell r="I85">
            <v>3.4823987645399802E-3</v>
          </cell>
          <cell r="J85"/>
          <cell r="K85"/>
        </row>
        <row r="86">
          <cell r="A86" t="str">
            <v>ITOT-STG-ELCSPEC</v>
          </cell>
          <cell r="B86" t="str">
            <v>VAR_cap</v>
          </cell>
          <cell r="C86" t="str">
            <v>-</v>
          </cell>
          <cell r="D86"/>
          <cell r="E86">
            <v>3.0539077781466702E-3</v>
          </cell>
          <cell r="F86">
            <v>3.7835081693792889E-3</v>
          </cell>
          <cell r="G86">
            <v>5.3175877646661728E-3</v>
          </cell>
          <cell r="H86">
            <v>2.3888138084332228E-2</v>
          </cell>
          <cell r="I86">
            <v>2.3906805969188292E-2</v>
          </cell>
          <cell r="J86"/>
          <cell r="K86"/>
        </row>
        <row r="87">
          <cell r="A87" t="str">
            <v>D-RHES_LTH_CHPNGA</v>
          </cell>
          <cell r="B87" t="str">
            <v>VAR_fout</v>
          </cell>
          <cell r="C87" t="str">
            <v>RHSA_LTH</v>
          </cell>
          <cell r="D87">
            <v>7.1024344453599628E-4</v>
          </cell>
          <cell r="E87">
            <v>9.4458236063797764E-5</v>
          </cell>
          <cell r="F87">
            <v>1.1925687450808761E-2</v>
          </cell>
          <cell r="G87">
            <v>4.5887751621714809E-3</v>
          </cell>
          <cell r="H87">
            <v>3.2698934598986186E-3</v>
          </cell>
          <cell r="I87">
            <v>4.3042613940064591E-5</v>
          </cell>
          <cell r="J87"/>
          <cell r="K87"/>
          <cell r="L87"/>
        </row>
        <row r="88">
          <cell r="A88" t="str">
            <v>D-RHES_LTH_CHPNGA</v>
          </cell>
          <cell r="B88" t="str">
            <v>VAR_fout</v>
          </cell>
          <cell r="C88" t="str">
            <v>LTH</v>
          </cell>
          <cell r="D88"/>
          <cell r="E88">
            <v>4.6745026771408216E-7</v>
          </cell>
          <cell r="F88">
            <v>6.1500510325380184E-6</v>
          </cell>
          <cell r="G88">
            <v>3.6719806690176367E-6</v>
          </cell>
          <cell r="H88">
            <v>8.1343987047972731E-6</v>
          </cell>
          <cell r="I88">
            <v>3.7810332967945674E-5</v>
          </cell>
          <cell r="J88"/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RHES_LTH_CHPNGA_ON</v>
          </cell>
          <cell r="D89">
            <v>3.9919346415052862E-2</v>
          </cell>
          <cell r="E89">
            <v>9.2265577718014576E-3</v>
          </cell>
          <cell r="F89">
            <v>6.8695739448561138E-3</v>
          </cell>
          <cell r="G89">
            <v>1.0659311606801079E-3</v>
          </cell>
          <cell r="H89">
            <v>3.0592215126703322E-4</v>
          </cell>
          <cell r="I89">
            <v>2.4425785532373768E-5</v>
          </cell>
          <cell r="J89"/>
          <cell r="K89"/>
        </row>
        <row r="90">
          <cell r="A90" t="str">
            <v>D-RHES_LTH_CHPNGA</v>
          </cell>
          <cell r="B90" t="str">
            <v>VAR_fin</v>
          </cell>
          <cell r="C90" t="str">
            <v>RHES_LTH_CHPNGA</v>
          </cell>
          <cell r="D90">
            <v>4.0629589859588831E-2</v>
          </cell>
          <cell r="E90">
            <v>9.3225235563491916E-3</v>
          </cell>
          <cell r="F90">
            <v>1.8801411446697412E-2</v>
          </cell>
          <cell r="G90">
            <v>5.6586772142275246E-3</v>
          </cell>
          <cell r="H90">
            <v>3.5839500098704498E-3</v>
          </cell>
          <cell r="I90">
            <v>1.0527873244038397E-4</v>
          </cell>
          <cell r="J90"/>
          <cell r="K90"/>
        </row>
        <row r="91">
          <cell r="A91" t="str">
            <v>D-ICOA</v>
          </cell>
          <cell r="B91" t="str">
            <v>VAR_fout</v>
          </cell>
          <cell r="C91" t="str">
            <v>ICOA</v>
          </cell>
          <cell r="D91">
            <v>3.560084694924718</v>
          </cell>
          <cell r="E91">
            <v>3.4647372887981449</v>
          </cell>
          <cell r="F91">
            <v>3.2185923772086182</v>
          </cell>
          <cell r="G91">
            <v>6.4833666496820312E-4</v>
          </cell>
          <cell r="H91">
            <v>1.0123174128948299E-3</v>
          </cell>
          <cell r="I91">
            <v>2.4086008422096807E-5</v>
          </cell>
          <cell r="J91"/>
          <cell r="K91"/>
        </row>
        <row r="92">
          <cell r="A92" t="str">
            <v>D-ICOA</v>
          </cell>
          <cell r="B92" t="str">
            <v>VAR_fout</v>
          </cell>
          <cell r="C92" t="str">
            <v>CO2</v>
          </cell>
          <cell r="D92">
            <v>330.019851219521</v>
          </cell>
          <cell r="E92">
            <v>321.18114667158801</v>
          </cell>
          <cell r="F92">
            <v>298.36351336723902</v>
          </cell>
          <cell r="G92">
            <v>6.0100808842552401E-2</v>
          </cell>
          <cell r="H92">
            <v>9.3841824175350794E-2</v>
          </cell>
          <cell r="I92">
            <v>2.2327729807283701E-3</v>
          </cell>
          <cell r="J92"/>
          <cell r="K92"/>
        </row>
        <row r="93">
          <cell r="A93" t="str">
            <v>D-ICOA</v>
          </cell>
          <cell r="B93" t="str">
            <v>VAR_fin</v>
          </cell>
          <cell r="C93" t="str">
            <v>COA</v>
          </cell>
          <cell r="D93">
            <v>3.560084694924718</v>
          </cell>
          <cell r="E93">
            <v>3.4647372887981449</v>
          </cell>
          <cell r="F93">
            <v>3.2185923772086182</v>
          </cell>
          <cell r="G93">
            <v>6.4833666496820312E-4</v>
          </cell>
          <cell r="H93">
            <v>1.0123174128948299E-3</v>
          </cell>
          <cell r="I93">
            <v>2.4086008422096807E-5</v>
          </cell>
          <cell r="J93"/>
        </row>
        <row r="94">
          <cell r="A94" t="str">
            <v>RHEM-SHCONBR1</v>
          </cell>
          <cell r="B94" t="str">
            <v>VAR_fout</v>
          </cell>
          <cell r="C94" t="str">
            <v>RHEM-SHCON</v>
          </cell>
          <cell r="D94">
            <v>1.7520181995779913E-2</v>
          </cell>
          <cell r="E94">
            <v>0.78059451966022331</v>
          </cell>
          <cell r="F94">
            <v>0.70813306249340513</v>
          </cell>
          <cell r="G94">
            <v>3.5626528229985204</v>
          </cell>
          <cell r="H94">
            <v>4.2468004604583056</v>
          </cell>
          <cell r="I94">
            <v>4.2471293904807288</v>
          </cell>
          <cell r="J94"/>
        </row>
        <row r="95">
          <cell r="A95" t="str">
            <v>RHEM-SHCONBR1</v>
          </cell>
          <cell r="B95" t="str">
            <v>VAR_fin</v>
          </cell>
          <cell r="C95" t="str">
            <v>CON</v>
          </cell>
          <cell r="D95">
            <v>1.7520181995779913E-2</v>
          </cell>
          <cell r="E95">
            <v>0.78059451966022331</v>
          </cell>
          <cell r="F95">
            <v>0.70813306249340513</v>
          </cell>
          <cell r="G95">
            <v>3.5626528229985204</v>
          </cell>
          <cell r="H95">
            <v>4.2468004604583056</v>
          </cell>
          <cell r="I95">
            <v>4.2471293904807288</v>
          </cell>
          <cell r="J95"/>
          <cell r="K95"/>
        </row>
        <row r="96">
          <cell r="A96" t="str">
            <v>RHEM-SHCONBR1</v>
          </cell>
          <cell r="B96" t="str">
            <v>VAR_ncap</v>
          </cell>
          <cell r="C96" t="str">
            <v>-</v>
          </cell>
          <cell r="D96">
            <v>2.75529640883805E-2</v>
          </cell>
          <cell r="E96">
            <v>2.7552960910544801E-2</v>
          </cell>
          <cell r="F96">
            <v>7.5883682450805704E-7</v>
          </cell>
          <cell r="G96">
            <v>0.19650272033423299</v>
          </cell>
          <cell r="H96">
            <v>1.6043902543797201E-5</v>
          </cell>
          <cell r="I96">
            <v>2.53683094948336E-2</v>
          </cell>
          <cell r="J96"/>
          <cell r="K96"/>
        </row>
        <row r="97">
          <cell r="A97" t="str">
            <v>RHEM-SHCONBR1</v>
          </cell>
          <cell r="B97" t="str">
            <v>VAR_cap</v>
          </cell>
          <cell r="C97" t="str">
            <v>-</v>
          </cell>
          <cell r="D97">
            <v>2.75529640883805E-2</v>
          </cell>
          <cell r="E97">
            <v>5.5105892373857664E-2</v>
          </cell>
          <cell r="F97">
            <v>5.5103942960416104E-2</v>
          </cell>
          <cell r="G97">
            <v>0.25160874349269613</v>
          </cell>
          <cell r="H97">
            <v>0.29990803595787907</v>
          </cell>
          <cell r="I97">
            <v>0.29991690281401473</v>
          </cell>
          <cell r="J97"/>
          <cell r="K97"/>
        </row>
        <row r="98">
          <cell r="A98" t="str">
            <v>RHEM-SHELCBR</v>
          </cell>
          <cell r="B98" t="str">
            <v>VAR_fout</v>
          </cell>
          <cell r="C98" t="str">
            <v>RHEM-SHAELCB</v>
          </cell>
          <cell r="D98">
            <v>4.6280936444495984</v>
          </cell>
          <cell r="E98">
            <v>3.1686705754185001</v>
          </cell>
          <cell r="F98">
            <v>3.673789455668057E-2</v>
          </cell>
          <cell r="G98">
            <v>1.1555868108439893E-2</v>
          </cell>
          <cell r="H98">
            <v>2.3080894199790682E-3</v>
          </cell>
          <cell r="I98">
            <v>2.8943649054098729E-3</v>
          </cell>
          <cell r="J98"/>
        </row>
        <row r="99">
          <cell r="A99" t="str">
            <v>RHEM-SHELCBR</v>
          </cell>
          <cell r="B99" t="str">
            <v>VAR_fin</v>
          </cell>
          <cell r="C99" t="str">
            <v>RHEM_ELC</v>
          </cell>
          <cell r="D99">
            <v>4.8716775204732627</v>
          </cell>
          <cell r="E99">
            <v>3.3354427109668419</v>
          </cell>
          <cell r="F99">
            <v>3.9958228027156449E-2</v>
          </cell>
          <cell r="G99">
            <v>1.256882079119636E-2</v>
          </cell>
          <cell r="H99">
            <v>2.4894454803980593E-3</v>
          </cell>
          <cell r="I99">
            <v>3.1217870373760085E-3</v>
          </cell>
          <cell r="J99"/>
        </row>
        <row r="100">
          <cell r="A100" t="str">
            <v>RHEM-SHELCBR</v>
          </cell>
          <cell r="B100" t="str">
            <v>VAR_ncap</v>
          </cell>
          <cell r="C100" t="str">
            <v>-</v>
          </cell>
          <cell r="D100">
            <v>2.15534195111435E-6</v>
          </cell>
          <cell r="E100">
            <v>1.0135415889432301E-6</v>
          </cell>
          <cell r="F100">
            <v>7.8052190031395902E-7</v>
          </cell>
          <cell r="G100">
            <v>1.3437356726719899E-6</v>
          </cell>
          <cell r="H100">
            <v>2.7729975677217097E-4</v>
          </cell>
          <cell r="I100">
            <v>1.5048147305448699E-4</v>
          </cell>
          <cell r="J100"/>
          <cell r="K100"/>
        </row>
        <row r="101">
          <cell r="A101" t="str">
            <v>RHEM-SHELCBR</v>
          </cell>
          <cell r="B101" t="str">
            <v>VAR_cap</v>
          </cell>
          <cell r="C101" t="str">
            <v>-</v>
          </cell>
          <cell r="D101">
            <v>0.32680329929029012</v>
          </cell>
          <cell r="E101">
            <v>0.32676943688797883</v>
          </cell>
          <cell r="F101">
            <v>4.7910574347553303E-3</v>
          </cell>
          <cell r="G101">
            <v>1.499541676886984E-3</v>
          </cell>
          <cell r="H101">
            <v>2.7872360271303604E-4</v>
          </cell>
          <cell r="I101">
            <v>3.5143406308543442E-4</v>
          </cell>
          <cell r="J101"/>
          <cell r="K101"/>
        </row>
        <row r="102">
          <cell r="A102" t="str">
            <v>RHNM-SHLTHCHPNGA</v>
          </cell>
          <cell r="B102" t="str">
            <v>VAR_fout</v>
          </cell>
          <cell r="C102" t="str">
            <v>RHNM-SHLTHC-NGA</v>
          </cell>
          <cell r="D102"/>
          <cell r="E102">
            <v>2.5774631011390467E-3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RHNMLTHCHPC</v>
          </cell>
          <cell r="D103"/>
          <cell r="E103">
            <v>2.5774631011390467E-3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VAR_fin</v>
          </cell>
          <cell r="C104" t="str">
            <v>RHNM_LTH_CHPNGA_ON</v>
          </cell>
          <cell r="D104"/>
          <cell r="E104">
            <v>2.603498081958631E-3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VAR_ncap</v>
          </cell>
          <cell r="C105" t="str">
            <v>-</v>
          </cell>
          <cell r="D105"/>
          <cell r="E105">
            <v>1.498213421723E-3</v>
          </cell>
          <cell r="F105">
            <v>8.0259389742186099E-4</v>
          </cell>
          <cell r="G105">
            <v>6.6637667509517897E-4</v>
          </cell>
          <cell r="H105">
            <v>2.7408744671375199E-4</v>
          </cell>
          <cell r="I105">
            <v>8.4775262401900895E-8</v>
          </cell>
          <cell r="J105"/>
          <cell r="K105"/>
        </row>
        <row r="106">
          <cell r="A106" t="str">
            <v>RHNM-SHLTHCHPNGA</v>
          </cell>
          <cell r="B106" t="str">
            <v>VAR_cap</v>
          </cell>
          <cell r="C106" t="str">
            <v>-</v>
          </cell>
          <cell r="D106"/>
          <cell r="E106">
            <v>1.498213421723E-3</v>
          </cell>
          <cell r="F106">
            <v>1.2443970386897701E-3</v>
          </cell>
          <cell r="G106">
            <v>1.23621995027728E-3</v>
          </cell>
          <cell r="H106">
            <v>5.4717037498561009E-4</v>
          </cell>
          <cell r="I106"/>
          <cell r="J106"/>
          <cell r="K106"/>
        </row>
        <row r="107">
          <cell r="A107" t="str">
            <v>RHEM-SHCONBR2</v>
          </cell>
          <cell r="B107" t="str">
            <v>VAR_fout</v>
          </cell>
          <cell r="C107" t="str">
            <v>RHEM-SHCON</v>
          </cell>
          <cell r="D107">
            <v>1.9989443427041002E-2</v>
          </cell>
          <cell r="E107">
            <v>1.21565362833186</v>
          </cell>
          <cell r="F107">
            <v>1.1336701984494242</v>
          </cell>
          <cell r="G107">
            <v>1.2153320248925208</v>
          </cell>
          <cell r="H107">
            <v>4.1172687532280197</v>
          </cell>
          <cell r="I107">
            <v>6.6149327419430275</v>
          </cell>
          <cell r="J107"/>
          <cell r="K107"/>
        </row>
        <row r="108">
          <cell r="A108" t="str">
            <v>RHEM-SHCONBR2</v>
          </cell>
          <cell r="B108" t="str">
            <v>VAR_fin</v>
          </cell>
          <cell r="C108" t="str">
            <v>CON</v>
          </cell>
          <cell r="D108">
            <v>1.9989443427041002E-2</v>
          </cell>
          <cell r="E108">
            <v>1.21565362833186</v>
          </cell>
          <cell r="F108">
            <v>1.1336701984494242</v>
          </cell>
          <cell r="G108">
            <v>1.2153320248925208</v>
          </cell>
          <cell r="H108">
            <v>4.1172687532280197</v>
          </cell>
          <cell r="I108">
            <v>6.6149327419430275</v>
          </cell>
          <cell r="J108"/>
          <cell r="K108"/>
        </row>
        <row r="109">
          <cell r="A109" t="str">
            <v>RHEM-SHCONBR2</v>
          </cell>
          <cell r="B109" t="str">
            <v>VAR_ncap</v>
          </cell>
          <cell r="C109" t="str">
            <v>-</v>
          </cell>
          <cell r="D109">
            <v>4.2913500393648003E-2</v>
          </cell>
          <cell r="E109">
            <v>4.2913495781919102E-2</v>
          </cell>
          <cell r="F109">
            <v>5.6588159428500096E-7</v>
          </cell>
          <cell r="G109">
            <v>2.81307424763988E-5</v>
          </cell>
          <cell r="H109">
            <v>5.4880319695251402E-2</v>
          </cell>
          <cell r="I109">
            <v>0.21585309422416099</v>
          </cell>
          <cell r="J109"/>
        </row>
        <row r="110">
          <cell r="A110" t="str">
            <v>RHEM-SHCONBR2</v>
          </cell>
          <cell r="B110" t="str">
            <v>VAR_cap</v>
          </cell>
          <cell r="C110" t="str">
            <v>-</v>
          </cell>
          <cell r="D110">
            <v>4.2913500393648003E-2</v>
          </cell>
          <cell r="E110">
            <v>8.5826962968673814E-2</v>
          </cell>
          <cell r="F110">
            <v>8.5824777586862203E-2</v>
          </cell>
          <cell r="G110">
            <v>8.5855038117890858E-2</v>
          </cell>
          <cell r="H110">
            <v>0.29075853194718493</v>
          </cell>
          <cell r="I110">
            <v>0.46711447784531651</v>
          </cell>
          <cell r="J110"/>
        </row>
        <row r="111">
          <cell r="A111" t="str">
            <v>D-RHSA_LTH</v>
          </cell>
          <cell r="B111" t="str">
            <v>VAR_fout</v>
          </cell>
          <cell r="C111" t="str">
            <v>RHSA_LTH</v>
          </cell>
          <cell r="D111">
            <v>1.1348534462031951E-2</v>
          </cell>
          <cell r="E111">
            <v>1.9770813680766502E-3</v>
          </cell>
          <cell r="F111">
            <v>6.9935664695878683E-3</v>
          </cell>
          <cell r="G111">
            <v>5.1391204633818239E-3</v>
          </cell>
          <cell r="H111">
            <v>0.11197726102518329</v>
          </cell>
          <cell r="I111">
            <v>1.4066734516949573E-2</v>
          </cell>
          <cell r="J111"/>
          <cell r="K111"/>
        </row>
        <row r="112">
          <cell r="A112" t="str">
            <v>D-RHSA_LTH</v>
          </cell>
          <cell r="B112" t="str">
            <v>VAR_fin</v>
          </cell>
          <cell r="C112" t="str">
            <v>RHEM_LTH_CHPWOD_ON</v>
          </cell>
          <cell r="D112">
            <v>1.1700514520449598E-4</v>
          </cell>
          <cell r="E112">
            <v>1.0452337815583321E-4</v>
          </cell>
          <cell r="F112">
            <v>3.909787321742153E-5</v>
          </cell>
          <cell r="G112">
            <v>6.9714974160341803E-6</v>
          </cell>
          <cell r="H112">
            <v>2.2155528936160063E-2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RHNM_LTH_CHPWOD_ON</v>
          </cell>
          <cell r="D113">
            <v>1.4886797442507295E-4</v>
          </cell>
          <cell r="E113">
            <v>9.4220561831212944E-5</v>
          </cell>
          <cell r="F113">
            <v>2.3536611355199862E-5</v>
          </cell>
          <cell r="G113"/>
          <cell r="H113">
            <v>7.7350144204302057E-2</v>
          </cell>
          <cell r="I113">
            <v>1.2740649240296968E-2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RHES_LTH_CHPWOD_ON</v>
          </cell>
          <cell r="D114">
            <v>1.0294316239144856E-4</v>
          </cell>
          <cell r="E114">
            <v>9.6933346896236564E-5</v>
          </cell>
          <cell r="F114">
            <v>3.9081664557702129E-5</v>
          </cell>
          <cell r="G114"/>
          <cell r="H114">
            <v>4.9084843902150229E-3</v>
          </cell>
          <cell r="I114">
            <v>1.2452737477777088E-3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RHNS_LTH_CHPWOD_ON</v>
          </cell>
          <cell r="D115">
            <v>1.5431855736114934E-4</v>
          </cell>
          <cell r="E115">
            <v>4.4695291450759263E-5</v>
          </cell>
          <cell r="F115">
            <v>2.2276375601431035E-5</v>
          </cell>
          <cell r="G115"/>
          <cell r="H115"/>
          <cell r="I115"/>
          <cell r="J115"/>
        </row>
        <row r="116">
          <cell r="A116" t="str">
            <v>D-RHSA_LTH</v>
          </cell>
          <cell r="B116" t="str">
            <v>VAR_fin</v>
          </cell>
          <cell r="C116" t="str">
            <v>RHEM_LTH_CHPNGA_ON</v>
          </cell>
          <cell r="D116">
            <v>3.2601118011468845E-3</v>
          </cell>
          <cell r="E116">
            <v>1.0436746034352561E-4</v>
          </cell>
          <cell r="F116"/>
          <cell r="G116">
            <v>1.2153863134031265E-3</v>
          </cell>
          <cell r="H116">
            <v>5.5291296489805236E-3</v>
          </cell>
          <cell r="I116">
            <v>2.9001195260156665E-5</v>
          </cell>
          <cell r="J116"/>
          <cell r="K116"/>
        </row>
        <row r="117">
          <cell r="A117" t="str">
            <v>D-RHSA_LTH</v>
          </cell>
          <cell r="B117" t="str">
            <v>VAR_fin</v>
          </cell>
          <cell r="C117" t="str">
            <v>RHNM_LTH_CHPNGA_ON</v>
          </cell>
          <cell r="D117">
            <v>1.4511793339465971E-4</v>
          </cell>
          <cell r="E117">
            <v>8.7007001370232727E-4</v>
          </cell>
          <cell r="F117"/>
          <cell r="G117"/>
          <cell r="H117">
            <v>1.4527501852979066E-3</v>
          </cell>
          <cell r="I117">
            <v>1.1234393534177006E-5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RHES_LTH_CHPNGA_ON</v>
          </cell>
          <cell r="D118">
            <v>7.2688202055718361E-3</v>
          </cell>
          <cell r="E118">
            <v>1.1070669235618883E-4</v>
          </cell>
          <cell r="F118">
            <v>6.8695739448561138E-3</v>
          </cell>
          <cell r="G118">
            <v>1.0659311606801079E-3</v>
          </cell>
          <cell r="H118">
            <v>3.0592215126703322E-4</v>
          </cell>
          <cell r="I118">
            <v>2.4425785532373768E-5</v>
          </cell>
          <cell r="J118"/>
          <cell r="K118"/>
        </row>
        <row r="119">
          <cell r="A119" t="str">
            <v>D-RHSA_LTH</v>
          </cell>
          <cell r="B119" t="str">
            <v>VAR_fin</v>
          </cell>
          <cell r="C119" t="str">
            <v>RHNS_LTH_CHPNGA_ON</v>
          </cell>
          <cell r="D119">
            <v>1.513496825364117E-4</v>
          </cell>
          <cell r="E119">
            <v>5.5156462334056769E-4</v>
          </cell>
          <cell r="F119"/>
          <cell r="G119">
            <v>2.8508314918825536E-3</v>
          </cell>
          <cell r="H119">
            <v>2.7530150896063783E-4</v>
          </cell>
          <cell r="I119">
            <v>1.6150154548198701E-5</v>
          </cell>
          <cell r="J119"/>
          <cell r="K119"/>
        </row>
        <row r="120">
          <cell r="A120" t="str">
            <v>RHEM-SHLTHCHPWOD</v>
          </cell>
          <cell r="B120" t="str">
            <v>VAR_ncap</v>
          </cell>
          <cell r="C120" t="str">
            <v>-</v>
          </cell>
          <cell r="D120"/>
          <cell r="E120"/>
          <cell r="F120"/>
          <cell r="G120">
            <v>3.8062620523926602E-4</v>
          </cell>
          <cell r="H120">
            <v>6.0623002785765998E-3</v>
          </cell>
          <cell r="I120">
            <v>4.2700379007314202E-4</v>
          </cell>
          <cell r="J120"/>
          <cell r="K120"/>
        </row>
        <row r="121">
          <cell r="A121" t="str">
            <v>RHEM-SHLTHCHPWOD</v>
          </cell>
          <cell r="B121" t="str">
            <v>VAR_cap</v>
          </cell>
          <cell r="C121" t="str">
            <v>-</v>
          </cell>
          <cell r="D121"/>
          <cell r="E121"/>
          <cell r="F121"/>
          <cell r="G121">
            <v>3.8062620523926602E-4</v>
          </cell>
          <cell r="H121">
            <v>8.1429121195624593E-3</v>
          </cell>
          <cell r="I121">
            <v>9.374214894350202E-4</v>
          </cell>
          <cell r="J121"/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RHEM_LTH_CHPWOD_ON</v>
          </cell>
          <cell r="D122">
            <v>1.1700514520449598E-4</v>
          </cell>
          <cell r="E122">
            <v>1.0452337815583321E-4</v>
          </cell>
          <cell r="F122">
            <v>3.909787321742153E-5</v>
          </cell>
          <cell r="G122">
            <v>6.9714974160341803E-6</v>
          </cell>
          <cell r="H122">
            <v>2.2155528936160063E-2</v>
          </cell>
          <cell r="I122"/>
          <cell r="J122"/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RHSA_LTH</v>
          </cell>
          <cell r="D123">
            <v>1.3389243928701351E-4</v>
          </cell>
          <cell r="E123">
            <v>1.3149244708320524E-4</v>
          </cell>
          <cell r="F123">
            <v>5.1730039559666843E-5</v>
          </cell>
          <cell r="G123">
            <v>6.2280330828135833E-3</v>
          </cell>
          <cell r="H123">
            <v>0.13753104165366498</v>
          </cell>
          <cell r="I123">
            <v>1.5391261048584341E-2</v>
          </cell>
          <cell r="J123"/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LTH</v>
          </cell>
          <cell r="D124"/>
          <cell r="E124">
            <v>4.7098609662824385E-6</v>
          </cell>
          <cell r="F124">
            <v>2.6273552305712594E-6</v>
          </cell>
          <cell r="G124">
            <v>3.8395892540959492E-6</v>
          </cell>
          <cell r="H124">
            <v>1.2630869684393921E-4</v>
          </cell>
          <cell r="I124">
            <v>2.8772393973507099E-5</v>
          </cell>
          <cell r="J124"/>
          <cell r="K124"/>
        </row>
        <row r="125">
          <cell r="A125" t="str">
            <v>D-RHEM_LTH_CHPWOD</v>
          </cell>
          <cell r="B125" t="str">
            <v>VAR_fin</v>
          </cell>
          <cell r="C125" t="str">
            <v>RHEM_LTH_CHPWOD</v>
          </cell>
          <cell r="D125">
            <v>2.5089758449150953E-4</v>
          </cell>
          <cell r="E125">
            <v>2.4072568620532087E-4</v>
          </cell>
          <cell r="F125">
            <v>9.3455268007659718E-5</v>
          </cell>
          <cell r="G125">
            <v>6.2393052693002779E-3</v>
          </cell>
          <cell r="H125">
            <v>0.15981287928666901</v>
          </cell>
          <cell r="I125">
            <v>1.5420050173413311E-2</v>
          </cell>
          <cell r="J125"/>
          <cell r="K125"/>
        </row>
        <row r="126">
          <cell r="A126" t="str">
            <v>RHES-SHLTHDH</v>
          </cell>
          <cell r="B126" t="str">
            <v>VAR_fout</v>
          </cell>
          <cell r="C126" t="str">
            <v>RHES-SHLTHD</v>
          </cell>
          <cell r="D126">
            <v>3.1454143756689348</v>
          </cell>
          <cell r="E126">
            <v>3.5038142731185924</v>
          </cell>
          <cell r="F126">
            <v>1.424723109626242</v>
          </cell>
          <cell r="G126">
            <v>1.9192387878046353</v>
          </cell>
          <cell r="H126">
            <v>2.2482655378214131</v>
          </cell>
          <cell r="I126">
            <v>2.151098750958484</v>
          </cell>
          <cell r="J126"/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RHESLTHDHC</v>
          </cell>
          <cell r="D127">
            <v>3.1454143756689348</v>
          </cell>
          <cell r="E127">
            <v>3.5038142731185924</v>
          </cell>
          <cell r="F127">
            <v>1.424723109626242</v>
          </cell>
          <cell r="G127">
            <v>1.9192387878046353</v>
          </cell>
          <cell r="H127">
            <v>2.2482655378214131</v>
          </cell>
          <cell r="I127">
            <v>2.151098750958484</v>
          </cell>
          <cell r="J127"/>
        </row>
        <row r="128">
          <cell r="A128" t="str">
            <v>RHES-SHLTHDH</v>
          </cell>
          <cell r="B128" t="str">
            <v>VAR_fin</v>
          </cell>
          <cell r="C128" t="str">
            <v>RHES_LTH_DH</v>
          </cell>
          <cell r="D128">
            <v>3.1771862380494311</v>
          </cell>
          <cell r="E128">
            <v>3.5392063364834305</v>
          </cell>
          <cell r="F128">
            <v>1.596385454408487</v>
          </cell>
          <cell r="G128">
            <v>2.1446407188930676</v>
          </cell>
          <cell r="H128">
            <v>2.5101595867218913</v>
          </cell>
          <cell r="I128">
            <v>2.3949141700106802</v>
          </cell>
          <cell r="J128"/>
          <cell r="K128"/>
        </row>
        <row r="129">
          <cell r="A129" t="str">
            <v>RHES-SHLTHDH</v>
          </cell>
          <cell r="B129" t="str">
            <v>VAR_ncap</v>
          </cell>
          <cell r="C129" t="str">
            <v>-</v>
          </cell>
          <cell r="D129"/>
          <cell r="E129">
            <v>8.8836110003606306E-2</v>
          </cell>
          <cell r="F129">
            <v>5.6890282164268002E-2</v>
          </cell>
          <cell r="G129">
            <v>6.4343798257699897E-2</v>
          </cell>
          <cell r="H129">
            <v>7.3828594589711305E-2</v>
          </cell>
          <cell r="I129">
            <v>6.7285768436283006E-2</v>
          </cell>
          <cell r="J129"/>
          <cell r="K129"/>
          <cell r="L129"/>
          <cell r="M129"/>
        </row>
        <row r="130">
          <cell r="A130" t="str">
            <v>RHES-SHLTHDH</v>
          </cell>
          <cell r="B130" t="str">
            <v>VAR_cap</v>
          </cell>
          <cell r="C130" t="str">
            <v>-</v>
          </cell>
          <cell r="D130">
            <v>0.31204626794151202</v>
          </cell>
          <cell r="E130">
            <v>0.3013908052913552</v>
          </cell>
          <cell r="F130">
            <v>0.154123602341667</v>
          </cell>
          <cell r="G130">
            <v>0.16817090288777709</v>
          </cell>
          <cell r="H130">
            <v>0.18237951838952404</v>
          </cell>
          <cell r="I130">
            <v>0.17902745274639809</v>
          </cell>
          <cell r="J130"/>
          <cell r="K130"/>
        </row>
        <row r="131">
          <cell r="A131" t="str">
            <v>RHEM-SHCONBR3</v>
          </cell>
          <cell r="B131" t="str">
            <v>VAR_fout</v>
          </cell>
          <cell r="C131" t="str">
            <v>RHEM-SHCON</v>
          </cell>
          <cell r="D131">
            <v>1.8654806109461013E-2</v>
          </cell>
          <cell r="E131">
            <v>0.97686594177028629</v>
          </cell>
          <cell r="F131">
            <v>0.90261061191588743</v>
          </cell>
          <cell r="G131">
            <v>0.9762128380827898</v>
          </cell>
          <cell r="H131">
            <v>2.7611889205679394</v>
          </cell>
          <cell r="I131">
            <v>4.8427973918104801</v>
          </cell>
          <cell r="J131"/>
        </row>
        <row r="132">
          <cell r="A132" t="str">
            <v>RHEM-SHCONBR3</v>
          </cell>
          <cell r="B132" t="str">
            <v>VAR_fin</v>
          </cell>
          <cell r="C132" t="str">
            <v>CON</v>
          </cell>
          <cell r="D132">
            <v>1.8654806109461013E-2</v>
          </cell>
          <cell r="E132">
            <v>0.97686594177028629</v>
          </cell>
          <cell r="F132">
            <v>0.90261061191588743</v>
          </cell>
          <cell r="G132">
            <v>0.9762128380827898</v>
          </cell>
          <cell r="H132">
            <v>2.7611889205679394</v>
          </cell>
          <cell r="I132">
            <v>4.8427973918104801</v>
          </cell>
          <cell r="J132"/>
          <cell r="K132"/>
        </row>
        <row r="133">
          <cell r="A133" t="str">
            <v>RHEM-SHCONBR3</v>
          </cell>
          <cell r="B133" t="str">
            <v>VAR_ncap</v>
          </cell>
          <cell r="C133" t="str">
            <v>-</v>
          </cell>
          <cell r="D133">
            <v>3.4482538168300603E-2</v>
          </cell>
          <cell r="E133">
            <v>3.4482809702803402E-2</v>
          </cell>
          <cell r="F133">
            <v>2.09521040938267E-7</v>
          </cell>
          <cell r="G133">
            <v>6.0993833734527998E-7</v>
          </cell>
          <cell r="H133">
            <v>0.126029878769049</v>
          </cell>
          <cell r="I133">
            <v>0.178706265562771</v>
          </cell>
          <cell r="J133"/>
        </row>
        <row r="134">
          <cell r="A134" t="str">
            <v>RHEM-SHCONBR3</v>
          </cell>
          <cell r="B134" t="str">
            <v>VAR_cap</v>
          </cell>
          <cell r="C134" t="str">
            <v>-</v>
          </cell>
          <cell r="D134">
            <v>3.4482538168300603E-2</v>
          </cell>
          <cell r="E134">
            <v>6.8965315490409462E-2</v>
          </cell>
          <cell r="F134">
            <v>6.8962808559075231E-2</v>
          </cell>
          <cell r="G134">
            <v>6.8965560129425119E-2</v>
          </cell>
          <cell r="H134">
            <v>0.19499696843021777</v>
          </cell>
          <cell r="I134">
            <v>0.34196599007313799</v>
          </cell>
          <cell r="J134"/>
          <cell r="K134"/>
        </row>
        <row r="135">
          <cell r="A135" t="str">
            <v>D-RHSA_ELC</v>
          </cell>
          <cell r="B135" t="str">
            <v>VAR_fout</v>
          </cell>
          <cell r="C135" t="str">
            <v>RHSA_ELC</v>
          </cell>
          <cell r="D135">
            <v>56.499200127243718</v>
          </cell>
          <cell r="E135">
            <v>55.034610148133773</v>
          </cell>
          <cell r="F135">
            <v>58.382592306549775</v>
          </cell>
          <cell r="G135">
            <v>67.111446203630408</v>
          </cell>
          <cell r="H135">
            <v>79.017522145446804</v>
          </cell>
          <cell r="I135">
            <v>75.983005585713741</v>
          </cell>
          <cell r="J135"/>
        </row>
        <row r="136">
          <cell r="A136" t="str">
            <v>D-RHSA_ELC</v>
          </cell>
          <cell r="B136" t="str">
            <v>VAR_fin</v>
          </cell>
          <cell r="C136" t="str">
            <v>RHNS_ELC</v>
          </cell>
          <cell r="D136">
            <v>14.326880138781489</v>
          </cell>
          <cell r="E136">
            <v>14.79577413797678</v>
          </cell>
          <cell r="F136">
            <v>15.142463333523946</v>
          </cell>
          <cell r="G136">
            <v>16.719263101718155</v>
          </cell>
          <cell r="H136">
            <v>19.499379058655226</v>
          </cell>
          <cell r="I136">
            <v>18.872840980509743</v>
          </cell>
          <cell r="J136"/>
          <cell r="K136"/>
        </row>
        <row r="137">
          <cell r="A137" t="str">
            <v>D-RHSA_ELC</v>
          </cell>
          <cell r="B137" t="str">
            <v>VAR_fin</v>
          </cell>
          <cell r="C137" t="str">
            <v>RHES_ELC</v>
          </cell>
          <cell r="D137">
            <v>16.30306281587351</v>
          </cell>
          <cell r="E137">
            <v>12.759589004790682</v>
          </cell>
          <cell r="F137">
            <v>13.349296916870227</v>
          </cell>
          <cell r="G137">
            <v>16.247741793532196</v>
          </cell>
          <cell r="H137">
            <v>19.369335269680189</v>
          </cell>
          <cell r="I137">
            <v>17.316692378331439</v>
          </cell>
          <cell r="J137"/>
        </row>
        <row r="138">
          <cell r="A138" t="str">
            <v>D-RHSA_ELC</v>
          </cell>
          <cell r="B138" t="str">
            <v>VAR_fin</v>
          </cell>
          <cell r="C138" t="str">
            <v>RHNM_ELC</v>
          </cell>
          <cell r="D138">
            <v>10.020926102100937</v>
          </cell>
          <cell r="E138">
            <v>14.775862003560215</v>
          </cell>
          <cell r="F138">
            <v>15.587454103212988</v>
          </cell>
          <cell r="G138">
            <v>17.901377664406272</v>
          </cell>
          <cell r="H138">
            <v>21.160760333864012</v>
          </cell>
          <cell r="I138">
            <v>20.882336371877731</v>
          </cell>
          <cell r="J138"/>
          <cell r="K138"/>
        </row>
        <row r="139">
          <cell r="A139" t="str">
            <v>D-RHSA_ELC</v>
          </cell>
          <cell r="B139" t="str">
            <v>VAR_fin</v>
          </cell>
          <cell r="C139" t="str">
            <v>RHEM_ELC</v>
          </cell>
          <cell r="D139">
            <v>15.848549012261067</v>
          </cell>
          <cell r="E139">
            <v>12.703462746575903</v>
          </cell>
          <cell r="F139">
            <v>14.303377952942624</v>
          </cell>
          <cell r="G139">
            <v>16.243063643973731</v>
          </cell>
          <cell r="H139">
            <v>18.988047483247421</v>
          </cell>
          <cell r="I139">
            <v>18.911135854994889</v>
          </cell>
          <cell r="J139"/>
          <cell r="K139"/>
        </row>
        <row r="140">
          <cell r="A140" t="str">
            <v>SCOM-SHLTHDH</v>
          </cell>
          <cell r="B140" t="str">
            <v>VAR_fout</v>
          </cell>
          <cell r="C140" t="str">
            <v>SCOM-SHLTHD</v>
          </cell>
          <cell r="D140">
            <v>5.5539149876685663</v>
          </cell>
          <cell r="E140">
            <v>6.015942368074354</v>
          </cell>
          <cell r="F140">
            <v>4.8686410392726991</v>
          </cell>
          <cell r="G140">
            <v>6.2703150706273947</v>
          </cell>
          <cell r="H140">
            <v>7.6521708657904375</v>
          </cell>
          <cell r="I140">
            <v>7.4196094812798092</v>
          </cell>
          <cell r="J140"/>
        </row>
        <row r="141">
          <cell r="A141" t="str">
            <v>SCOM-SHLTHDH</v>
          </cell>
          <cell r="B141" t="str">
            <v>VAR_fin</v>
          </cell>
          <cell r="C141" t="str">
            <v>SCOMLTHDHC</v>
          </cell>
          <cell r="D141">
            <v>5.5539149876685663</v>
          </cell>
          <cell r="E141">
            <v>6.015942368074354</v>
          </cell>
          <cell r="F141">
            <v>4.8686410392726991</v>
          </cell>
          <cell r="G141">
            <v>6.2703150706273947</v>
          </cell>
          <cell r="H141">
            <v>7.6521708657904375</v>
          </cell>
          <cell r="I141">
            <v>7.4196094812798092</v>
          </cell>
          <cell r="J141"/>
          <cell r="K141"/>
        </row>
        <row r="142">
          <cell r="A142" t="str">
            <v>SCOM-SHLTHDH</v>
          </cell>
          <cell r="B142" t="str">
            <v>VAR_fin</v>
          </cell>
          <cell r="C142" t="str">
            <v>SCOM_LTH_DH</v>
          </cell>
          <cell r="D142">
            <v>5.6100151390591604</v>
          </cell>
          <cell r="E142">
            <v>6.0767094627013618</v>
          </cell>
          <cell r="F142">
            <v>5.92831792876978</v>
          </cell>
          <cell r="G142">
            <v>7.6023148085013244</v>
          </cell>
          <cell r="H142">
            <v>9.2777175046102229</v>
          </cell>
          <cell r="I142">
            <v>8.9957532273073646</v>
          </cell>
          <cell r="J142"/>
          <cell r="K142"/>
        </row>
        <row r="143">
          <cell r="A143" t="str">
            <v>SCOM-SHLTHDH</v>
          </cell>
          <cell r="B143" t="str">
            <v>VAR_ncap</v>
          </cell>
          <cell r="C143" t="str">
            <v>-</v>
          </cell>
          <cell r="D143">
            <v>7.2038466336091301E-8</v>
          </cell>
          <cell r="E143">
            <v>0.13233803045666101</v>
          </cell>
          <cell r="F143">
            <v>0.15841633831754501</v>
          </cell>
          <cell r="G143">
            <v>0.29024509072295901</v>
          </cell>
          <cell r="H143">
            <v>0.33649930508470199</v>
          </cell>
          <cell r="I143">
            <v>0.50650491774879502</v>
          </cell>
          <cell r="J143"/>
          <cell r="K143"/>
        </row>
        <row r="144">
          <cell r="A144" t="str">
            <v>SCOM-SHLTHDH</v>
          </cell>
          <cell r="B144" t="str">
            <v>VAR_cap</v>
          </cell>
          <cell r="C144" t="str">
            <v>-</v>
          </cell>
          <cell r="D144">
            <v>0.84970032496867132</v>
          </cell>
          <cell r="E144">
            <v>0.848836104249725</v>
          </cell>
          <cell r="F144">
            <v>0.60996115342916102</v>
          </cell>
          <cell r="G144">
            <v>0.78707078017856613</v>
          </cell>
          <cell r="H144">
            <v>0.84969844772699898</v>
          </cell>
          <cell r="I144">
            <v>0.84970066152467283</v>
          </cell>
          <cell r="J144"/>
          <cell r="K144"/>
        </row>
        <row r="145">
          <cell r="A145" t="str">
            <v>ITOT-SWHSTG-ELC</v>
          </cell>
          <cell r="B145" t="str">
            <v>VAR_fout</v>
          </cell>
          <cell r="C145" t="str">
            <v>ITOT-SWHAELC</v>
          </cell>
          <cell r="D145">
            <v>1.6191256428794282E-4</v>
          </cell>
          <cell r="E145">
            <v>9.1301046424078298E-5</v>
          </cell>
          <cell r="F145">
            <v>0.12884635903968542</v>
          </cell>
          <cell r="G145">
            <v>1.8598281895884029E-3</v>
          </cell>
          <cell r="H145">
            <v>1.2516825251061399</v>
          </cell>
          <cell r="I145">
            <v>2.5856460232536622</v>
          </cell>
          <cell r="J145"/>
          <cell r="K145"/>
        </row>
        <row r="146">
          <cell r="A146" t="str">
            <v>ITOT-SWHSTG-ELC</v>
          </cell>
          <cell r="B146" t="str">
            <v>VAR_fin</v>
          </cell>
          <cell r="C146" t="str">
            <v>ITOT-SWHAELC</v>
          </cell>
          <cell r="D146">
            <v>2.1825074462514989E-4</v>
          </cell>
          <cell r="E146">
            <v>5.6848546663884301E-5</v>
          </cell>
          <cell r="F146">
            <v>0.16629770673572858</v>
          </cell>
          <cell r="G146">
            <v>2.373331618510186E-3</v>
          </cell>
          <cell r="H146">
            <v>1.4726895707357557</v>
          </cell>
          <cell r="I146">
            <v>2.8730680470698737</v>
          </cell>
          <cell r="J146"/>
          <cell r="K146"/>
        </row>
        <row r="147">
          <cell r="A147" t="str">
            <v>ITOT-SWHSTG-ELC</v>
          </cell>
          <cell r="B147" t="str">
            <v>VAR_ncap</v>
          </cell>
          <cell r="C147" t="str">
            <v>-</v>
          </cell>
          <cell r="D147">
            <v>5.8149691070654898E-3</v>
          </cell>
          <cell r="E147">
            <v>0.16406715512977399</v>
          </cell>
          <cell r="F147">
            <v>5.7309817409895103E-2</v>
          </cell>
          <cell r="G147">
            <v>4.4764332047942702E-2</v>
          </cell>
          <cell r="H147">
            <v>0.22240400495117699</v>
          </cell>
          <cell r="I147">
            <v>0.111282625791518</v>
          </cell>
          <cell r="J147"/>
          <cell r="K147"/>
        </row>
        <row r="148">
          <cell r="A148" t="str">
            <v>ITOT-SWHSTG-ELC</v>
          </cell>
          <cell r="B148" t="str">
            <v>VAR_cap</v>
          </cell>
          <cell r="C148" t="str">
            <v>-</v>
          </cell>
          <cell r="D148">
            <v>5.8149691070654898E-3</v>
          </cell>
          <cell r="E148">
            <v>0.1698740321179551</v>
          </cell>
          <cell r="F148">
            <v>0.22717823237130719</v>
          </cell>
          <cell r="G148">
            <v>0.27194016318280523</v>
          </cell>
          <cell r="H148">
            <v>0.35493033736039281</v>
          </cell>
          <cell r="I148">
            <v>0.31151456142157763</v>
          </cell>
          <cell r="J148"/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ELC5</v>
          </cell>
          <cell r="D149">
            <v>1.3160497637076716</v>
          </cell>
          <cell r="E149">
            <v>1.6810338387449895</v>
          </cell>
          <cell r="F149">
            <v>5.3998379185474885</v>
          </cell>
          <cell r="G149">
            <v>7.349873386734898</v>
          </cell>
          <cell r="H149">
            <v>23.525007590037383</v>
          </cell>
          <cell r="I149">
            <v>24.200469184236365</v>
          </cell>
          <cell r="J149"/>
          <cell r="K149"/>
        </row>
        <row r="150">
          <cell r="A150" t="str">
            <v>D-SCOM_SOLELC</v>
          </cell>
          <cell r="B150" t="str">
            <v>VAR_fout</v>
          </cell>
          <cell r="C150" t="str">
            <v>SCOM_ELC</v>
          </cell>
          <cell r="D150">
            <v>1.5235739220642954</v>
          </cell>
          <cell r="E150">
            <v>1.6134323350095214</v>
          </cell>
          <cell r="F150">
            <v>4.5606306927406912</v>
          </cell>
          <cell r="G150">
            <v>6.5368242709863909</v>
          </cell>
          <cell r="H150">
            <v>16.809557180443218</v>
          </cell>
          <cell r="I150">
            <v>20.476327125939815</v>
          </cell>
          <cell r="J150"/>
          <cell r="K150"/>
        </row>
        <row r="151">
          <cell r="A151" t="str">
            <v>D-SCOM_SOLELC</v>
          </cell>
          <cell r="B151" t="str">
            <v>VAR_fin</v>
          </cell>
          <cell r="C151" t="str">
            <v>SCOM_SOL_ELC</v>
          </cell>
          <cell r="D151">
            <v>2.8396236857719668</v>
          </cell>
          <cell r="E151">
            <v>3.2944566838166156</v>
          </cell>
          <cell r="F151">
            <v>9.9604686112881833</v>
          </cell>
          <cell r="G151">
            <v>13.886697657721292</v>
          </cell>
          <cell r="H151">
            <v>40.334564770480604</v>
          </cell>
          <cell r="I151">
            <v>44.676796310176172</v>
          </cell>
          <cell r="J151"/>
          <cell r="K151"/>
        </row>
        <row r="152">
          <cell r="A152" t="str">
            <v>D-ILFO</v>
          </cell>
          <cell r="B152" t="str">
            <v>VAR_fout</v>
          </cell>
          <cell r="C152" t="str">
            <v>CO2</v>
          </cell>
          <cell r="D152">
            <v>690.33262529821604</v>
          </cell>
          <cell r="E152">
            <v>659.57743997114596</v>
          </cell>
          <cell r="F152">
            <v>599.68894110040605</v>
          </cell>
          <cell r="G152">
            <v>512.36136289772503</v>
          </cell>
          <cell r="H152">
            <v>215.03374990775799</v>
          </cell>
          <cell r="I152">
            <v>1.28846872122095E-3</v>
          </cell>
          <cell r="J152"/>
          <cell r="K152"/>
        </row>
        <row r="153">
          <cell r="A153" t="str">
            <v>D-ILFO</v>
          </cell>
          <cell r="B153" t="str">
            <v>VAR_fout</v>
          </cell>
          <cell r="C153" t="str">
            <v>ILFO</v>
          </cell>
          <cell r="D153">
            <v>9.2103563900306753</v>
          </cell>
          <cell r="E153">
            <v>8.8000234471520518</v>
          </cell>
          <cell r="F153">
            <v>8.001228623462838</v>
          </cell>
          <cell r="G153">
            <v>7.071686569927917</v>
          </cell>
          <cell r="H153">
            <v>3.1047394755245863</v>
          </cell>
          <cell r="I153">
            <v>0.23579733869122654</v>
          </cell>
          <cell r="J153"/>
        </row>
        <row r="154">
          <cell r="A154" t="str">
            <v>D-ILFO</v>
          </cell>
          <cell r="B154" t="str">
            <v>VAR_fin</v>
          </cell>
          <cell r="C154" t="str">
            <v>LFO</v>
          </cell>
          <cell r="D154">
            <v>9.3667927448875954</v>
          </cell>
          <cell r="E154">
            <v>8.9494903659585674</v>
          </cell>
          <cell r="F154">
            <v>8.1368920095034838</v>
          </cell>
          <cell r="G154">
            <v>6.9519859280559713</v>
          </cell>
          <cell r="H154">
            <v>2.9176899580428506</v>
          </cell>
          <cell r="I154">
            <v>1.7482614941939651E-5</v>
          </cell>
          <cell r="J154"/>
        </row>
        <row r="155">
          <cell r="A155" t="str">
            <v>D-ILFO</v>
          </cell>
          <cell r="B155" t="str">
            <v>VAR_fin</v>
          </cell>
          <cell r="C155" t="str">
            <v>BDS</v>
          </cell>
          <cell r="D155"/>
          <cell r="E155"/>
          <cell r="F155">
            <v>2.3613697739633546E-4</v>
          </cell>
          <cell r="G155">
            <v>0.23981642040029447</v>
          </cell>
          <cell r="H155">
            <v>0.23982308568273117</v>
          </cell>
          <cell r="I155">
            <v>0.23982752188347337</v>
          </cell>
          <cell r="J155"/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2.8564676433126861E-2</v>
          </cell>
          <cell r="G156">
            <v>3.9191292383878827E-2</v>
          </cell>
          <cell r="H156">
            <v>5.1499338449057942E-2</v>
          </cell>
          <cell r="I156">
            <v>0.52691561714275847</v>
          </cell>
          <cell r="J156"/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2.8696528800350153E-2</v>
          </cell>
          <cell r="G157">
            <v>3.9319766357324315E-2</v>
          </cell>
          <cell r="H157">
            <v>5.1563905886258414E-2</v>
          </cell>
          <cell r="I157">
            <v>0.52698863692560394</v>
          </cell>
          <cell r="J157"/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4.43561769380908E-5</v>
          </cell>
          <cell r="E158">
            <v>4.2140881530205101E-5</v>
          </cell>
          <cell r="F158">
            <v>4.1370302474412597E-2</v>
          </cell>
          <cell r="G158">
            <v>7.6559751871410106E-2</v>
          </cell>
          <cell r="H158">
            <v>9.1838452265970594E-2</v>
          </cell>
          <cell r="I158">
            <v>8.05181421719917E-2</v>
          </cell>
          <cell r="J158"/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4.43561769380908E-5</v>
          </cell>
          <cell r="E159">
            <v>1.1277841161095984E-6</v>
          </cell>
          <cell r="F159">
            <v>4.1352574064800703E-2</v>
          </cell>
          <cell r="G159">
            <v>0.11788479250351806</v>
          </cell>
          <cell r="H159">
            <v>0.17904968667937202</v>
          </cell>
          <cell r="I159">
            <v>0.1587848830026421</v>
          </cell>
          <cell r="J159"/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3.3180914455568949E-4</v>
          </cell>
          <cell r="E160">
            <v>0.15566694980298135</v>
          </cell>
          <cell r="F160">
            <v>0.11945403774575282</v>
          </cell>
          <cell r="G160">
            <v>0.15503997793688709</v>
          </cell>
          <cell r="H160">
            <v>0.15521006893725806</v>
          </cell>
          <cell r="I160">
            <v>0.94647545920443787</v>
          </cell>
          <cell r="J160"/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3.3180914455568949E-4</v>
          </cell>
          <cell r="E161">
            <v>0.15566694980298135</v>
          </cell>
          <cell r="F161">
            <v>0.11945403774575282</v>
          </cell>
          <cell r="G161">
            <v>0.15503997793688709</v>
          </cell>
          <cell r="H161">
            <v>0.15521006893725806</v>
          </cell>
          <cell r="I161">
            <v>0.94647545920443787</v>
          </cell>
          <cell r="J161"/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2.7008360337963099E-6</v>
          </cell>
          <cell r="E162">
            <v>1.09748681426183E-2</v>
          </cell>
          <cell r="F162">
            <v>1.2073639843843999E-7</v>
          </cell>
          <cell r="G162">
            <v>1.7983595809622199E-7</v>
          </cell>
          <cell r="H162">
            <v>2.24071407605028E-7</v>
          </cell>
          <cell r="I162">
            <v>6.0485739011480598E-2</v>
          </cell>
          <cell r="J162"/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2.7008360337963099E-6</v>
          </cell>
          <cell r="E163">
            <v>1.0977537120819498E-2</v>
          </cell>
          <cell r="F163">
            <v>1.0975098059910093E-2</v>
          </cell>
          <cell r="G163">
            <v>1.0977279676438474E-2</v>
          </cell>
          <cell r="H163">
            <v>1.0977584301441157E-2</v>
          </cell>
          <cell r="I163">
            <v>6.6832074739458E-2</v>
          </cell>
          <cell r="J163"/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4.1168728078975498E-3</v>
          </cell>
          <cell r="G164">
            <v>4.0081366456386812E-3</v>
          </cell>
          <cell r="H164">
            <v>8.1524947403250198E-3</v>
          </cell>
          <cell r="I164">
            <v>8.0847930954965515E-3</v>
          </cell>
          <cell r="J164"/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4.1168728078975498E-3</v>
          </cell>
          <cell r="G165">
            <v>4.0081366456386812E-3</v>
          </cell>
          <cell r="H165">
            <v>8.1524947403250198E-3</v>
          </cell>
          <cell r="I165">
            <v>8.0847930954965515E-3</v>
          </cell>
          <cell r="J165"/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1.47651142944566E-7</v>
          </cell>
          <cell r="F166">
            <v>3.0236031883572502E-4</v>
          </cell>
          <cell r="G166">
            <v>4.0816402154008202E-7</v>
          </cell>
          <cell r="H166">
            <v>1.7848710213228799E-4</v>
          </cell>
          <cell r="I166">
            <v>2.1062580724462501E-7</v>
          </cell>
          <cell r="J166"/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1.47651142944566E-7</v>
          </cell>
          <cell r="F167">
            <v>3.0243212325499529E-4</v>
          </cell>
          <cell r="G167">
            <v>3.0277263778782237E-4</v>
          </cell>
          <cell r="H167">
            <v>6.1982671636727569E-4</v>
          </cell>
          <cell r="I167">
            <v>6.2021883862928696E-4</v>
          </cell>
          <cell r="J167"/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3.2006084308115496E-4</v>
          </cell>
          <cell r="E168">
            <v>5.9113362736552153E-3</v>
          </cell>
          <cell r="F168">
            <v>3.3366242134713004E-3</v>
          </cell>
          <cell r="G168">
            <v>5.4013644462267982E-3</v>
          </cell>
          <cell r="H168">
            <v>5.5484344137847665E-3</v>
          </cell>
          <cell r="I168">
            <v>3.421474713197386E-3</v>
          </cell>
          <cell r="J168"/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3.2006084308115496E-4</v>
          </cell>
          <cell r="E169">
            <v>5.9113362736552153E-3</v>
          </cell>
          <cell r="F169">
            <v>3.3366242134713004E-3</v>
          </cell>
          <cell r="G169">
            <v>5.4013644462267982E-3</v>
          </cell>
          <cell r="H169">
            <v>5.5484344137847665E-3</v>
          </cell>
          <cell r="I169">
            <v>3.421474713197386E-3</v>
          </cell>
          <cell r="J169"/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1.35704061007088E-6</v>
          </cell>
          <cell r="E170">
            <v>4.0143311641496402E-4</v>
          </cell>
          <cell r="F170">
            <v>1.23790593438759E-7</v>
          </cell>
          <cell r="G170">
            <v>1.5899407553664599E-7</v>
          </cell>
          <cell r="H170">
            <v>2.1510511940512101E-7</v>
          </cell>
          <cell r="I170">
            <v>5.23533267421139E-6</v>
          </cell>
          <cell r="J170"/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1.35704061007088E-6</v>
          </cell>
          <cell r="E171">
            <v>4.0275870074263863E-4</v>
          </cell>
          <cell r="F171">
            <v>4.0159177511712649E-4</v>
          </cell>
          <cell r="G171">
            <v>4.025369447830175E-4</v>
          </cell>
          <cell r="H171">
            <v>4.0278646963610006E-4</v>
          </cell>
          <cell r="I171">
            <v>2.3833909655118429E-4</v>
          </cell>
          <cell r="J171"/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28.619781060973448</v>
          </cell>
          <cell r="E172">
            <v>23.982026627313839</v>
          </cell>
          <cell r="F172">
            <v>23.634956733788528</v>
          </cell>
          <cell r="G172">
            <v>17.818991560442672</v>
          </cell>
          <cell r="H172">
            <v>3.2716793283418886</v>
          </cell>
          <cell r="I172">
            <v>1.6213612463933704</v>
          </cell>
          <cell r="J172"/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2005.1540030820199</v>
          </cell>
          <cell r="E173">
            <v>1678.7550545752699</v>
          </cell>
          <cell r="F173">
            <v>1652.2924774637199</v>
          </cell>
          <cell r="G173">
            <v>1242.99102884026</v>
          </cell>
          <cell r="H173">
            <v>227.23085037577499</v>
          </cell>
          <cell r="I173">
            <v>112.123389664649</v>
          </cell>
          <cell r="J173"/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35.552375941170595</v>
          </cell>
          <cell r="E174">
            <v>29.765160542114707</v>
          </cell>
          <cell r="F174">
            <v>29.29596591247731</v>
          </cell>
          <cell r="G174">
            <v>22.038848029082565</v>
          </cell>
          <cell r="H174">
            <v>4.0289157868045224</v>
          </cell>
          <cell r="I174">
            <v>1.9880033628483844</v>
          </cell>
          <cell r="J174"/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5.53404374597344E-5</v>
          </cell>
          <cell r="F175">
            <v>3.0435747882784699E-5</v>
          </cell>
          <cell r="G175">
            <v>0.31280700803227701</v>
          </cell>
          <cell r="H175">
            <v>3.7382101995330698E-3</v>
          </cell>
          <cell r="I175">
            <v>0.13500990422804199</v>
          </cell>
          <cell r="J175"/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1.5379994909221915</v>
          </cell>
          <cell r="F176">
            <v>1.4850762766845305</v>
          </cell>
          <cell r="G176">
            <v>1.221451443072344</v>
          </cell>
          <cell r="H176">
            <v>0.22176011783928293</v>
          </cell>
          <cell r="I176">
            <v>0.13511046683960481</v>
          </cell>
          <cell r="J176"/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2.1565011689786993E-2</v>
          </cell>
          <cell r="F177">
            <v>5.5619605659048376E-5</v>
          </cell>
          <cell r="G177">
            <v>6.8313459047570011E-5</v>
          </cell>
          <cell r="H177">
            <v>6.2533622668756663E-5</v>
          </cell>
          <cell r="I177">
            <v>1.4932578615513514E-4</v>
          </cell>
          <cell r="J177"/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2.1565011689786993E-2</v>
          </cell>
          <cell r="F178">
            <v>5.5619605659048376E-5</v>
          </cell>
          <cell r="G178">
            <v>6.8313459047570011E-5</v>
          </cell>
          <cell r="H178">
            <v>6.2533622668756663E-5</v>
          </cell>
          <cell r="I178">
            <v>1.4932578615513514E-4</v>
          </cell>
          <cell r="J178"/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3.2150772777544499E-3</v>
          </cell>
          <cell r="F179">
            <v>6.3911246042393699E-5</v>
          </cell>
          <cell r="G179">
            <v>8.9395838802469195E-5</v>
          </cell>
          <cell r="H179">
            <v>1.3201736728345699E-4</v>
          </cell>
          <cell r="I179">
            <v>1.3322821798345601E-4</v>
          </cell>
          <cell r="J179"/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3.2150772777544499E-3</v>
          </cell>
          <cell r="F180">
            <v>3.2594648640359445E-3</v>
          </cell>
          <cell r="G180">
            <v>3.2338079533575617E-3</v>
          </cell>
          <cell r="H180">
            <v>4.9800982416249009E-4</v>
          </cell>
          <cell r="I180">
            <v>3.5315710217752723E-4</v>
          </cell>
          <cell r="J180"/>
          <cell r="K180"/>
          <cell r="L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1.4011429871191463</v>
          </cell>
          <cell r="E181">
            <v>1.6078084086005044</v>
          </cell>
          <cell r="F181">
            <v>0.29939057747462322</v>
          </cell>
          <cell r="G181">
            <v>0.34777222908875666</v>
          </cell>
          <cell r="H181">
            <v>0.36947974915931581</v>
          </cell>
          <cell r="I181">
            <v>0.29496136547398322</v>
          </cell>
          <cell r="J181"/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1.4011429871191463</v>
          </cell>
          <cell r="E182">
            <v>1.6078084086005044</v>
          </cell>
          <cell r="F182">
            <v>0.29939057747462322</v>
          </cell>
          <cell r="G182">
            <v>0.34777222908875666</v>
          </cell>
          <cell r="H182">
            <v>0.36947974915931581</v>
          </cell>
          <cell r="I182">
            <v>0.29496136547398322</v>
          </cell>
          <cell r="J182"/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1.5568255412434957</v>
          </cell>
          <cell r="E183">
            <v>1.7864537873338944</v>
          </cell>
          <cell r="F183">
            <v>0.40843609630517763</v>
          </cell>
          <cell r="G183">
            <v>0.47443955267564014</v>
          </cell>
          <cell r="H183">
            <v>0.50056767305527428</v>
          </cell>
          <cell r="I183">
            <v>0.39360246964285589</v>
          </cell>
          <cell r="J183"/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7.0464181851228496E-6</v>
          </cell>
          <cell r="E184">
            <v>1.47283011390967E-2</v>
          </cell>
          <cell r="F184">
            <v>3.1441819993820203E-7</v>
          </cell>
          <cell r="G184">
            <v>1.5486797357618701E-6</v>
          </cell>
          <cell r="H184">
            <v>1.6925027555472399E-2</v>
          </cell>
          <cell r="I184">
            <v>4.6598334462517998E-3</v>
          </cell>
          <cell r="J184"/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9.9706102538465721E-2</v>
          </cell>
          <cell r="E185">
            <v>0.11443423999522558</v>
          </cell>
          <cell r="F185">
            <v>4.6271675817322305E-2</v>
          </cell>
          <cell r="G185">
            <v>4.6270157951796509E-2</v>
          </cell>
          <cell r="H185">
            <v>2.6288928039558859E-2</v>
          </cell>
          <cell r="I185">
            <v>2.0903153622352278E-2</v>
          </cell>
          <cell r="J185"/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1.5019728160196313E-3</v>
          </cell>
          <cell r="F186">
            <v>8.3312541463727741E-4</v>
          </cell>
          <cell r="G186">
            <v>1.1805311878405036E-3</v>
          </cell>
          <cell r="H186">
            <v>1.2864705352366246E-3</v>
          </cell>
          <cell r="I186">
            <v>8.4487183622325998E-4</v>
          </cell>
          <cell r="J186"/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1.5019728160196313E-3</v>
          </cell>
          <cell r="F187">
            <v>8.3312541463727741E-4</v>
          </cell>
          <cell r="G187">
            <v>1.1805311878405036E-3</v>
          </cell>
          <cell r="H187">
            <v>1.2864705352366246E-3</v>
          </cell>
          <cell r="I187">
            <v>8.4487183622325998E-4</v>
          </cell>
          <cell r="J187"/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9.1960298618670096E-5</v>
          </cell>
          <cell r="F188">
            <v>2.5759085721681201E-7</v>
          </cell>
          <cell r="G188">
            <v>1.5724610018268801E-7</v>
          </cell>
          <cell r="H188">
            <v>1.71615856052644E-7</v>
          </cell>
          <cell r="I188">
            <v>1.38647209500306E-6</v>
          </cell>
          <cell r="J188"/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9.1960298618670096E-5</v>
          </cell>
          <cell r="F189">
            <v>9.1964589162931375E-5</v>
          </cell>
          <cell r="G189">
            <v>9.2121651529459176E-5</v>
          </cell>
          <cell r="H189">
            <v>9.2275522405890783E-5</v>
          </cell>
          <cell r="I189">
            <v>5.5034961434543993E-5</v>
          </cell>
          <cell r="J189"/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6.4419308951791569E-4</v>
          </cell>
          <cell r="F190">
            <v>4.0418761152964682E-4</v>
          </cell>
          <cell r="G190">
            <v>4.4789007186976621E-4</v>
          </cell>
          <cell r="H190">
            <v>5.2148324264462748E-4</v>
          </cell>
          <cell r="I190">
            <v>3.6066832798545376E-4</v>
          </cell>
          <cell r="J190"/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6.4419308951791569E-4</v>
          </cell>
          <cell r="F191">
            <v>4.0418761152964682E-4</v>
          </cell>
          <cell r="G191">
            <v>4.4789007186976621E-4</v>
          </cell>
          <cell r="H191">
            <v>5.2148324264462748E-4</v>
          </cell>
          <cell r="I191">
            <v>3.6066832798545376E-4</v>
          </cell>
          <cell r="J191"/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3.1378794008526297E-5</v>
          </cell>
          <cell r="F192">
            <v>2.36059912692876E-7</v>
          </cell>
          <cell r="G192">
            <v>1.6318865254742E-7</v>
          </cell>
          <cell r="H192">
            <v>1.2398193944097599E-7</v>
          </cell>
          <cell r="I192">
            <v>5.6540392532238102E-7</v>
          </cell>
          <cell r="J192"/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3.1378794008526297E-5</v>
          </cell>
          <cell r="F193">
            <v>3.1466724575802278E-5</v>
          </cell>
          <cell r="G193">
            <v>3.159576686846795E-5</v>
          </cell>
          <cell r="H193">
            <v>3.1699061645035101E-5</v>
          </cell>
          <cell r="I193">
            <v>1.9132832420849836E-5</v>
          </cell>
          <cell r="J193"/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2.0114571716459134E-4</v>
          </cell>
          <cell r="F194">
            <v>1.887639626947512E-4</v>
          </cell>
          <cell r="G194">
            <v>1.2902873021404838E-4</v>
          </cell>
          <cell r="H194">
            <v>1.615465323399494E-4</v>
          </cell>
          <cell r="I194">
            <v>1.1766294475483403E-4</v>
          </cell>
          <cell r="J194"/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2.0114571716459134E-4</v>
          </cell>
          <cell r="F195">
            <v>1.887639626947512E-4</v>
          </cell>
          <cell r="G195">
            <v>1.2902873021404838E-4</v>
          </cell>
          <cell r="H195">
            <v>1.615465323399494E-4</v>
          </cell>
          <cell r="I195">
            <v>1.1766294475483403E-4</v>
          </cell>
          <cell r="J195"/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7.6131584107551806E-8</v>
          </cell>
          <cell r="F196">
            <v>6.73560092981182E-8</v>
          </cell>
          <cell r="G196">
            <v>7.4158275331036503E-8</v>
          </cell>
          <cell r="H196">
            <v>4.4925575032257299E-8</v>
          </cell>
          <cell r="I196">
            <v>6.9272492555393704E-8</v>
          </cell>
          <cell r="J196"/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7.6131584107551806E-8</v>
          </cell>
          <cell r="F197">
            <v>5.9588887619422997E-8</v>
          </cell>
          <cell r="G197">
            <v>1.2116155435768129E-7</v>
          </cell>
          <cell r="H197">
            <v>8.1252749567432992E-8</v>
          </cell>
          <cell r="I197">
            <v>1.8595750559985903E-7</v>
          </cell>
          <cell r="J197"/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9.1578750233502717</v>
          </cell>
          <cell r="E198">
            <v>10.27596137587607</v>
          </cell>
          <cell r="F198">
            <v>19.841199500421791</v>
          </cell>
          <cell r="G198">
            <v>23.665092934619569</v>
          </cell>
          <cell r="H198">
            <v>26.9959430290819</v>
          </cell>
          <cell r="I198">
            <v>25.920581745362423</v>
          </cell>
          <cell r="J198"/>
          <cell r="K198"/>
          <cell r="L198"/>
          <cell r="M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2.8618359447969604</v>
          </cell>
          <cell r="E199">
            <v>3.1585946852078135</v>
          </cell>
          <cell r="F199">
            <v>6.8805344824168877</v>
          </cell>
          <cell r="G199">
            <v>7.5625946031377458</v>
          </cell>
          <cell r="H199">
            <v>7.6649007964312448</v>
          </cell>
          <cell r="I199">
            <v>6.5206835629245852</v>
          </cell>
          <cell r="J199"/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9.1578750233502717</v>
          </cell>
          <cell r="E200">
            <v>10.27596137587607</v>
          </cell>
          <cell r="F200">
            <v>19.841199500421791</v>
          </cell>
          <cell r="G200">
            <v>23.665092934619569</v>
          </cell>
          <cell r="H200">
            <v>26.9959430290819</v>
          </cell>
          <cell r="I200">
            <v>25.920581745362423</v>
          </cell>
          <cell r="J200"/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2.7263586541479698E-7</v>
          </cell>
          <cell r="E201">
            <v>9.0328259748881007E-2</v>
          </cell>
          <cell r="F201">
            <v>0.77282350173917502</v>
          </cell>
          <cell r="G201">
            <v>0.308906812015248</v>
          </cell>
          <cell r="H201">
            <v>1.10934217643277</v>
          </cell>
          <cell r="I201">
            <v>0.98284007021543496</v>
          </cell>
          <cell r="J201"/>
          <cell r="K201"/>
          <cell r="M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0.7398382005612304</v>
          </cell>
          <cell r="E202">
            <v>0.83016628910855439</v>
          </cell>
          <cell r="F202">
            <v>1.6029889048967745</v>
          </cell>
          <cell r="G202">
            <v>1.9118955106922269</v>
          </cell>
          <cell r="H202">
            <v>2.1809879298331771</v>
          </cell>
          <cell r="I202">
            <v>2.094083085481321</v>
          </cell>
          <cell r="J202"/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3.2399699782195217</v>
          </cell>
          <cell r="E203">
            <v>3.6355118941520304</v>
          </cell>
          <cell r="F203">
            <v>4.9117385530623139</v>
          </cell>
          <cell r="G203">
            <v>7.3871061655292074</v>
          </cell>
          <cell r="H203">
            <v>12.215634423673787</v>
          </cell>
          <cell r="I203">
            <v>14.846717569262257</v>
          </cell>
          <cell r="J203"/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1.1489255241913201</v>
          </cell>
          <cell r="E204">
            <v>1.2864514841302308</v>
          </cell>
          <cell r="F204">
            <v>2.6127924979571184</v>
          </cell>
          <cell r="G204">
            <v>3.5293533897033491</v>
          </cell>
          <cell r="H204">
            <v>5.0558976354784919</v>
          </cell>
          <cell r="I204">
            <v>5.4474825652604864</v>
          </cell>
          <cell r="J204"/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3.20251641850332E-6</v>
          </cell>
          <cell r="E205">
            <v>3.2791644632806802E-2</v>
          </cell>
          <cell r="F205">
            <v>7.9138638447068504E-2</v>
          </cell>
          <cell r="G205">
            <v>0.16903855733950701</v>
          </cell>
          <cell r="H205">
            <v>0.35917889923915602</v>
          </cell>
          <cell r="I205">
            <v>0.61097957977044803</v>
          </cell>
          <cell r="J205"/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0.2133558649356595</v>
          </cell>
          <cell r="E206">
            <v>0.24614701409640632</v>
          </cell>
          <cell r="F206">
            <v>0.32528481087930394</v>
          </cell>
          <cell r="G206">
            <v>0.49432294260050569</v>
          </cell>
          <cell r="H206">
            <v>0.82703972265531889</v>
          </cell>
          <cell r="I206">
            <v>1.0147860710073813</v>
          </cell>
          <cell r="J206"/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5.6086672094919523</v>
          </cell>
          <cell r="E207">
            <v>6.0095329104085193</v>
          </cell>
          <cell r="F207">
            <v>6.0959481920305816</v>
          </cell>
          <cell r="G207">
            <v>7.4537751181101548</v>
          </cell>
          <cell r="H207">
            <v>8.4676601103669249</v>
          </cell>
          <cell r="I207">
            <v>12.490254624827848</v>
          </cell>
          <cell r="J207"/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8.9833027539371665E-4</v>
          </cell>
          <cell r="F208">
            <v>2.7883665960622707E-3</v>
          </cell>
          <cell r="G208">
            <v>1.0452779682322149E-3</v>
          </cell>
          <cell r="H208">
            <v>1.409615360971371E-2</v>
          </cell>
          <cell r="I208">
            <v>3.1886255676793415E-2</v>
          </cell>
          <cell r="J208"/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5.6086672094919523</v>
          </cell>
          <cell r="E209">
            <v>6.0104312406839107</v>
          </cell>
          <cell r="F209">
            <v>6.098736558626646</v>
          </cell>
          <cell r="G209">
            <v>7.4548203960783832</v>
          </cell>
          <cell r="H209">
            <v>8.4817562639766457</v>
          </cell>
          <cell r="I209">
            <v>12.522140880504644</v>
          </cell>
          <cell r="J209"/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2.0018620635733892E-4</v>
          </cell>
          <cell r="F210">
            <v>1.8984051241197143E-4</v>
          </cell>
          <cell r="G210">
            <v>1.2631537762917766E-4</v>
          </cell>
          <cell r="H210">
            <v>1.5774369583633195E-4</v>
          </cell>
          <cell r="I210">
            <v>1.1427588240510076E-4</v>
          </cell>
          <cell r="J210"/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2.0018620635733892E-4</v>
          </cell>
          <cell r="F211">
            <v>1.8984051241197143E-4</v>
          </cell>
          <cell r="G211">
            <v>1.2631537762917766E-4</v>
          </cell>
          <cell r="H211">
            <v>1.5774369583633195E-4</v>
          </cell>
          <cell r="I211">
            <v>1.1427588240510076E-4</v>
          </cell>
          <cell r="J211"/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>
            <v>1.05304759924462E-8</v>
          </cell>
          <cell r="I212">
            <v>1.5024121325475201E-8</v>
          </cell>
          <cell r="J212"/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-8.8913940657389899E-8</v>
          </cell>
          <cell r="G213">
            <v>-1.06981370078572E-7</v>
          </cell>
          <cell r="H213">
            <v>-2.317095869207258E-7</v>
          </cell>
          <cell r="I213">
            <v>-9.5537876601683599E-8</v>
          </cell>
          <cell r="J213"/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4.2613387658351947</v>
          </cell>
          <cell r="E214">
            <v>4.6177038031798947</v>
          </cell>
          <cell r="F214">
            <v>4.7061089620354268</v>
          </cell>
          <cell r="G214">
            <v>8.0293946293717902</v>
          </cell>
          <cell r="H214">
            <v>15.308631442083326</v>
          </cell>
          <cell r="I214">
            <v>17.824437099783388</v>
          </cell>
          <cell r="J214"/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4.2613387658351947</v>
          </cell>
          <cell r="E215">
            <v>4.6177038031798947</v>
          </cell>
          <cell r="F215">
            <v>4.7061089620354268</v>
          </cell>
          <cell r="G215">
            <v>8.0293946293717902</v>
          </cell>
          <cell r="H215">
            <v>15.308631442083326</v>
          </cell>
          <cell r="I215">
            <v>17.824437099783388</v>
          </cell>
          <cell r="J215"/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1.3316683643234983</v>
          </cell>
          <cell r="E216">
            <v>1.4252172232036715</v>
          </cell>
          <cell r="F216">
            <v>1.6659337325900654</v>
          </cell>
          <cell r="G216">
            <v>2.5472978433973581</v>
          </cell>
          <cell r="H216">
            <v>4.283563280804219</v>
          </cell>
          <cell r="I216">
            <v>4.6124425644188589</v>
          </cell>
          <cell r="J216"/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4.3126815775648598E-7</v>
          </cell>
          <cell r="E217">
            <v>7.0254822201211899E-7</v>
          </cell>
          <cell r="F217">
            <v>2.3200051645692399E-6</v>
          </cell>
          <cell r="G217">
            <v>0.190154964134782</v>
          </cell>
          <cell r="H217">
            <v>0.48569381937089301</v>
          </cell>
          <cell r="I217">
            <v>0.79035283670360001</v>
          </cell>
          <cell r="J217"/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0.43061774472194575</v>
          </cell>
          <cell r="E218">
            <v>0.43061427981547368</v>
          </cell>
          <cell r="F218">
            <v>0.43061434654581116</v>
          </cell>
          <cell r="G218">
            <v>0.62077336544637962</v>
          </cell>
          <cell r="H218">
            <v>1.1851721274524578</v>
          </cell>
          <cell r="I218">
            <v>1.383776793246877</v>
          </cell>
          <cell r="J218"/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6.3265003638860007E-2</v>
          </cell>
          <cell r="E219">
            <v>0.16367217010220669</v>
          </cell>
          <cell r="F219">
            <v>7.3894227574879054E-3</v>
          </cell>
          <cell r="G219">
            <v>0.16672816948091965</v>
          </cell>
          <cell r="H219"/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7.2593819937392381E-3</v>
          </cell>
          <cell r="E220">
            <v>5.7500347609419382E-3</v>
          </cell>
          <cell r="F220">
            <v>2.5808419223679055E-3</v>
          </cell>
          <cell r="G220">
            <v>3.433394474468182E-3</v>
          </cell>
          <cell r="H220"/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7.0524385632599176E-2</v>
          </cell>
          <cell r="E221">
            <v>0.16942220486314835</v>
          </cell>
          <cell r="F221">
            <v>9.9261267822713228E-3</v>
          </cell>
          <cell r="G221">
            <v>0.17012643818206627</v>
          </cell>
          <cell r="H221"/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3.6347564297944999</v>
          </cell>
          <cell r="H222"/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8.8490692579299548</v>
          </cell>
          <cell r="H223">
            <v>4.8452648587950193</v>
          </cell>
          <cell r="I223">
            <v>2.1770226232879963</v>
          </cell>
          <cell r="J223"/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6.9079623828227479E-2</v>
          </cell>
          <cell r="F224">
            <v>4.3850557762263832E-3</v>
          </cell>
          <cell r="G224">
            <v>9.588748986720675E-3</v>
          </cell>
          <cell r="H224">
            <v>9.8020691620609082E-3</v>
          </cell>
          <cell r="I224">
            <v>8.6990035381178023E-3</v>
          </cell>
          <cell r="J224"/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7.2715393503397369E-2</v>
          </cell>
          <cell r="F225">
            <v>4.6158481855014611E-3</v>
          </cell>
          <cell r="G225">
            <v>1.0093419986021762E-2</v>
          </cell>
          <cell r="H225">
            <v>1.0317967539011492E-2</v>
          </cell>
          <cell r="I225">
            <v>9.1568458295976929E-3</v>
          </cell>
          <cell r="J225"/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5.4178321834195999E-3</v>
          </cell>
          <cell r="F226"/>
          <cell r="G226"/>
          <cell r="H226"/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5.4178321834195999E-3</v>
          </cell>
          <cell r="F227">
            <v>5.4127855538115641E-3</v>
          </cell>
          <cell r="G227">
            <v>5.4006019251305621E-3</v>
          </cell>
          <cell r="H227">
            <v>2.2054782446850993E-3</v>
          </cell>
          <cell r="I227">
            <v>9.3221635318497533E-4</v>
          </cell>
          <cell r="J227"/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3.6347564297942201</v>
          </cell>
          <cell r="H228"/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8.8490692579320012</v>
          </cell>
          <cell r="H229">
            <v>4.845264858796952</v>
          </cell>
          <cell r="I229">
            <v>2.1770226232900427</v>
          </cell>
          <cell r="J229"/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7.1355837898668165E-4</v>
          </cell>
          <cell r="E230">
            <v>6.6641144412397826E-4</v>
          </cell>
          <cell r="F230">
            <v>2.6165105327613288E-3</v>
          </cell>
          <cell r="G230">
            <v>1.6574840279596995E-3</v>
          </cell>
          <cell r="H230">
            <v>7.3336471788202989E-2</v>
          </cell>
          <cell r="I230">
            <v>0.25700233875270939</v>
          </cell>
          <cell r="J230"/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6.2748617425656189E-4</v>
          </cell>
          <cell r="E231">
            <v>6.4470559898056564E-4</v>
          </cell>
          <cell r="F231">
            <v>3.1173984240812011E-3</v>
          </cell>
          <cell r="G231">
            <v>1.8256181186622237E-3</v>
          </cell>
          <cell r="H231">
            <v>8.6112812203799655E-2</v>
          </cell>
          <cell r="I231">
            <v>0.28540286313228352</v>
          </cell>
          <cell r="J231"/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5.05878580552589E-5</v>
          </cell>
          <cell r="E232">
            <v>1.09088438488252E-7</v>
          </cell>
          <cell r="F232">
            <v>2.5002441419983502E-4</v>
          </cell>
          <cell r="G232">
            <v>2.6534900709368502E-2</v>
          </cell>
          <cell r="H232">
            <v>6.5880593147646396E-2</v>
          </cell>
          <cell r="I232">
            <v>9.4392423093332802E-7</v>
          </cell>
          <cell r="J232"/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5.05878580552589E-5</v>
          </cell>
          <cell r="E233">
            <v>5.0696946493747199E-5</v>
          </cell>
          <cell r="F233">
            <v>3.0072136069358199E-4</v>
          </cell>
          <cell r="G233">
            <v>2.6835622070062098E-2</v>
          </cell>
          <cell r="H233">
            <v>8.4072703484108793E-2</v>
          </cell>
          <cell r="I233">
            <v>4.7823211046118398E-2</v>
          </cell>
          <cell r="J233"/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3.2324020947386206E-2</v>
          </cell>
          <cell r="E234">
            <v>9.02469256865082E-3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3.2324020947386206E-2</v>
          </cell>
          <cell r="E235">
            <v>9.02469256865082E-3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3.2650526209481015E-2</v>
          </cell>
          <cell r="E236">
            <v>9.1158510794452658E-3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6.93310504607112E-4</v>
          </cell>
          <cell r="F237">
            <v>1.3761867528283599E-3</v>
          </cell>
          <cell r="G237">
            <v>6.3845766249731595E-4</v>
          </cell>
          <cell r="H237">
            <v>1.23015768629855E-4</v>
          </cell>
          <cell r="I237">
            <v>8.4980228677644705E-8</v>
          </cell>
          <cell r="J237"/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1.2244689428297225E-3</v>
          </cell>
          <cell r="F238">
            <v>2.09239897560982E-3</v>
          </cell>
          <cell r="G238">
            <v>1.3827427931400208E-3</v>
          </cell>
          <cell r="H238">
            <v>2.7279048632268489E-4</v>
          </cell>
          <cell r="I238"/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3.5018103699884992E-7</v>
          </cell>
          <cell r="E239">
            <v>4.2266458155065115E-6</v>
          </cell>
          <cell r="F239">
            <v>0.76125451792633614</v>
          </cell>
          <cell r="G239">
            <v>0.58138289254030118</v>
          </cell>
          <cell r="H239">
            <v>0.3015689836079346</v>
          </cell>
          <cell r="I239">
            <v>0.19872098363915858</v>
          </cell>
          <cell r="J239"/>
          <cell r="K239"/>
        </row>
        <row r="240">
          <cell r="A240" t="str">
            <v>RHSA-WHSTG-ELC</v>
          </cell>
          <cell r="B240" t="str">
            <v>VAR_fin</v>
          </cell>
          <cell r="C240" t="str">
            <v>RHSA-WHAELCB</v>
          </cell>
          <cell r="D240">
            <v>6.4833096393118999E-5</v>
          </cell>
          <cell r="E240">
            <v>9.5081856638511326E-6</v>
          </cell>
          <cell r="F240">
            <v>0.76127126469803441</v>
          </cell>
          <cell r="G240">
            <v>0.58139519382944838</v>
          </cell>
          <cell r="H240">
            <v>0.30158086301351039</v>
          </cell>
          <cell r="I240">
            <v>0.19872794981127143</v>
          </cell>
          <cell r="J240"/>
          <cell r="K240"/>
        </row>
        <row r="241">
          <cell r="A241" t="str">
            <v>RHSA-WHSTG-ELC</v>
          </cell>
          <cell r="B241" t="str">
            <v>VAR_ncap</v>
          </cell>
          <cell r="C241" t="str">
            <v>-</v>
          </cell>
          <cell r="D241">
            <v>3.71851941982922E-2</v>
          </cell>
          <cell r="E241">
            <v>7.4005263334166405E-2</v>
          </cell>
          <cell r="F241">
            <v>2.8799824221628401E-5</v>
          </cell>
          <cell r="G241">
            <v>6.3994432246854003E-5</v>
          </cell>
          <cell r="H241">
            <v>4.1439787364647103E-2</v>
          </cell>
          <cell r="I241">
            <v>2.39260136582017E-4</v>
          </cell>
          <cell r="J241"/>
        </row>
        <row r="242">
          <cell r="A242" t="str">
            <v>RHSA-WHSTG-ELC</v>
          </cell>
          <cell r="B242" t="str">
            <v>VAR_cap</v>
          </cell>
          <cell r="C242" t="str">
            <v>-</v>
          </cell>
          <cell r="D242">
            <v>3.7186103567180918E-2</v>
          </cell>
          <cell r="E242">
            <v>0.11111842523624943</v>
          </cell>
          <cell r="F242">
            <v>7.7340027985356219E-2</v>
          </cell>
          <cell r="G242">
            <v>5.8445069619037726E-2</v>
          </cell>
          <cell r="H242">
            <v>4.5099078267729416E-2</v>
          </cell>
          <cell r="I242">
            <v>2.833724422895299E-2</v>
          </cell>
          <cell r="J242"/>
          <cell r="K242"/>
        </row>
        <row r="243">
          <cell r="A243" t="str">
            <v>ITOT-SWHLFOBR</v>
          </cell>
          <cell r="B243" t="str">
            <v>VAR_fout</v>
          </cell>
          <cell r="C243" t="str">
            <v>ITOT-SWH</v>
          </cell>
          <cell r="D243">
            <v>6.9177773355812509</v>
          </cell>
          <cell r="E243">
            <v>6.3170679480727214</v>
          </cell>
          <cell r="F243">
            <v>6.211316105817887</v>
          </cell>
          <cell r="G243">
            <v>5.0360692921579391</v>
          </cell>
          <cell r="H243">
            <v>2.4528673391934919</v>
          </cell>
          <cell r="I243">
            <v>0.18777212530312296</v>
          </cell>
          <cell r="J243"/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CO2_I</v>
          </cell>
          <cell r="D244">
            <v>655.77494837082099</v>
          </cell>
          <cell r="E244">
            <v>597.86312941623896</v>
          </cell>
          <cell r="F244">
            <v>586.43373807140995</v>
          </cell>
          <cell r="G244">
            <v>473.56667427974799</v>
          </cell>
          <cell r="H244">
            <v>228.81929934616201</v>
          </cell>
          <cell r="I244">
            <v>17.378263861543399</v>
          </cell>
          <cell r="J244"/>
          <cell r="K244"/>
        </row>
        <row r="245">
          <cell r="A245" t="str">
            <v>ITOT-SWHLFOBR</v>
          </cell>
          <cell r="B245" t="str">
            <v>VAR_fin</v>
          </cell>
          <cell r="C245" t="str">
            <v>ILFO</v>
          </cell>
          <cell r="D245">
            <v>8.897896178708562</v>
          </cell>
          <cell r="E245">
            <v>8.112118445267809</v>
          </cell>
          <cell r="F245">
            <v>7.9570385084316237</v>
          </cell>
          <cell r="G245">
            <v>6.4255993796438062</v>
          </cell>
          <cell r="H245">
            <v>3.1047394755245863</v>
          </cell>
          <cell r="I245">
            <v>0.23579733869122654</v>
          </cell>
          <cell r="J245"/>
        </row>
        <row r="246">
          <cell r="A246" t="str">
            <v>ITOT-SWHLFOBR</v>
          </cell>
          <cell r="B246" t="str">
            <v>VAR_ncap</v>
          </cell>
          <cell r="C246" t="str">
            <v>-</v>
          </cell>
          <cell r="D246"/>
          <cell r="E246">
            <v>1.1977698792711099E-3</v>
          </cell>
          <cell r="F246">
            <v>1.9425474513441501E-4</v>
          </cell>
          <cell r="G246">
            <v>0.25533235859834402</v>
          </cell>
          <cell r="H246">
            <v>2.4985894533612201E-2</v>
          </cell>
          <cell r="I246">
            <v>2.0819612792535799E-2</v>
          </cell>
          <cell r="J246"/>
          <cell r="K246"/>
        </row>
        <row r="247">
          <cell r="A247" t="str">
            <v>ITOT-SWHLFOBR</v>
          </cell>
          <cell r="B247" t="str">
            <v>VAR_cap</v>
          </cell>
          <cell r="C247" t="str">
            <v>-</v>
          </cell>
          <cell r="D247">
            <v>0.37633543963083199</v>
          </cell>
          <cell r="E247">
            <v>0.37752087603713064</v>
          </cell>
          <cell r="F247">
            <v>0.37720750145280268</v>
          </cell>
          <cell r="G247">
            <v>0.31705757962703396</v>
          </cell>
          <cell r="H247">
            <v>0.18351564095010628</v>
          </cell>
          <cell r="I247">
            <v>2.0847511998761597E-2</v>
          </cell>
          <cell r="J247"/>
          <cell r="K247"/>
        </row>
        <row r="248">
          <cell r="A248" t="str">
            <v>D-SCOM_LTH_CHPNGA</v>
          </cell>
          <cell r="B248" t="str">
            <v>VAR_fout</v>
          </cell>
          <cell r="C248" t="str">
            <v>LTH</v>
          </cell>
          <cell r="D248"/>
          <cell r="E248">
            <v>5.344034329772576E-5</v>
          </cell>
          <cell r="F248"/>
          <cell r="G248"/>
          <cell r="H248"/>
          <cell r="I248"/>
          <cell r="J248"/>
        </row>
        <row r="249">
          <cell r="A249" t="str">
            <v>D-SCOM_LTH_CHPNGA</v>
          </cell>
          <cell r="B249" t="str">
            <v>VAR_fout</v>
          </cell>
          <cell r="C249" t="str">
            <v>SCOM_LTH_CHPNGA_ON</v>
          </cell>
          <cell r="D249">
            <v>0.69258912303533549</v>
          </cell>
          <cell r="E249">
            <v>0.75020787053723026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VAR_fin</v>
          </cell>
          <cell r="C250" t="str">
            <v>SCOM_LTH_CHPNGA</v>
          </cell>
          <cell r="D250">
            <v>0.69258912303533549</v>
          </cell>
          <cell r="E250">
            <v>0.7502613108805285</v>
          </cell>
          <cell r="F250"/>
          <cell r="G250"/>
          <cell r="H250"/>
          <cell r="I250"/>
          <cell r="J250"/>
        </row>
        <row r="251">
          <cell r="A251" t="str">
            <v>RHSA-WHCONBR3</v>
          </cell>
          <cell r="B251" t="str">
            <v>VAR_ncap</v>
          </cell>
          <cell r="C251" t="str">
            <v>-</v>
          </cell>
          <cell r="D251"/>
          <cell r="E251"/>
          <cell r="F251">
            <v>375</v>
          </cell>
          <cell r="G251">
            <v>3.6347564297944999</v>
          </cell>
          <cell r="H251"/>
          <cell r="I251"/>
          <cell r="J251"/>
        </row>
        <row r="252">
          <cell r="A252" t="str">
            <v>RHSA-WHCONBR3</v>
          </cell>
          <cell r="B252" t="str">
            <v>VAR_cap</v>
          </cell>
          <cell r="C252" t="str">
            <v>-</v>
          </cell>
          <cell r="D252"/>
          <cell r="E252"/>
          <cell r="F252">
            <v>375</v>
          </cell>
          <cell r="G252">
            <v>8.8490692579299548</v>
          </cell>
          <cell r="H252">
            <v>4.8452648587950193</v>
          </cell>
          <cell r="I252">
            <v>2.1770226232879963</v>
          </cell>
          <cell r="J252"/>
          <cell r="K252"/>
        </row>
        <row r="253">
          <cell r="A253" t="str">
            <v>D-IWOD</v>
          </cell>
          <cell r="B253" t="str">
            <v>VAR_fout</v>
          </cell>
          <cell r="C253" t="str">
            <v>IWOD</v>
          </cell>
          <cell r="D253">
            <v>9.8746705582948184</v>
          </cell>
          <cell r="E253">
            <v>12.878552230116524</v>
          </cell>
          <cell r="F253">
            <v>14.306981701136396</v>
          </cell>
          <cell r="G253">
            <v>16.446898663724166</v>
          </cell>
          <cell r="H253">
            <v>19.115747267456531</v>
          </cell>
          <cell r="I253">
            <v>21.938737872035944</v>
          </cell>
          <cell r="J253"/>
          <cell r="K253"/>
        </row>
        <row r="254">
          <cell r="A254" t="str">
            <v>D-IWOD</v>
          </cell>
          <cell r="B254" t="str">
            <v>VAR_fin</v>
          </cell>
          <cell r="C254" t="str">
            <v>WOD</v>
          </cell>
          <cell r="D254">
            <v>9.8746705582948184</v>
          </cell>
          <cell r="E254">
            <v>12.878552230116524</v>
          </cell>
          <cell r="F254">
            <v>14.306981701136396</v>
          </cell>
          <cell r="G254">
            <v>16.446898663724166</v>
          </cell>
          <cell r="H254">
            <v>19.115747267456531</v>
          </cell>
          <cell r="I254">
            <v>21.938737872035944</v>
          </cell>
          <cell r="J254"/>
          <cell r="K254"/>
        </row>
        <row r="255">
          <cell r="A255" t="str">
            <v>RHSA-WHCONBR4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3.6347564297942201</v>
          </cell>
          <cell r="H255"/>
          <cell r="I255"/>
          <cell r="J255"/>
        </row>
        <row r="256">
          <cell r="A256" t="str">
            <v>RHSA-WHCONBR4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8.8490692579320012</v>
          </cell>
          <cell r="H256">
            <v>4.845264858796952</v>
          </cell>
          <cell r="I256">
            <v>2.1770226232900427</v>
          </cell>
          <cell r="J256"/>
        </row>
        <row r="257">
          <cell r="A257" t="str">
            <v>SCOM-ELCSPEC</v>
          </cell>
          <cell r="B257" t="str">
            <v>VAR_fout</v>
          </cell>
          <cell r="C257" t="str">
            <v>SCOM-ELS</v>
          </cell>
          <cell r="D257">
            <v>56.994774574912441</v>
          </cell>
          <cell r="E257">
            <v>58.701901593747301</v>
          </cell>
          <cell r="F257">
            <v>45.091730704992202</v>
          </cell>
          <cell r="G257">
            <v>37.225207758729439</v>
          </cell>
          <cell r="H257">
            <v>31.2638211310659</v>
          </cell>
          <cell r="I257">
            <v>25.345001153425592</v>
          </cell>
          <cell r="J257"/>
          <cell r="K257"/>
        </row>
        <row r="258">
          <cell r="A258" t="str">
            <v>SCOM-ELCSPEC</v>
          </cell>
          <cell r="B258" t="str">
            <v>VAR_fin</v>
          </cell>
          <cell r="C258" t="str">
            <v>SCOM_ELC</v>
          </cell>
          <cell r="D258">
            <v>56.994774574912441</v>
          </cell>
          <cell r="E258">
            <v>58.701901593747301</v>
          </cell>
          <cell r="F258">
            <v>45.091730704992202</v>
          </cell>
          <cell r="G258">
            <v>37.225207758729439</v>
          </cell>
          <cell r="H258">
            <v>31.2638211310659</v>
          </cell>
          <cell r="I258">
            <v>25.345001153425592</v>
          </cell>
          <cell r="J258"/>
        </row>
        <row r="259">
          <cell r="A259" t="str">
            <v>SCOM-ELCSPEC</v>
          </cell>
          <cell r="B259" t="str">
            <v>VAR_ncap</v>
          </cell>
          <cell r="C259" t="str">
            <v>-</v>
          </cell>
          <cell r="D259">
            <v>9.692281175583709E-7</v>
          </cell>
          <cell r="E259">
            <v>5.9515732132870299E-6</v>
          </cell>
          <cell r="F259">
            <v>4.5236199212758201E-6</v>
          </cell>
          <cell r="G259">
            <v>4.2401585823460599E-6</v>
          </cell>
          <cell r="H259">
            <v>7.3812978863047702E-6</v>
          </cell>
          <cell r="I259">
            <v>2.3854051382682</v>
          </cell>
          <cell r="J259"/>
          <cell r="K259"/>
        </row>
        <row r="260">
          <cell r="A260" t="str">
            <v>SCOM-ELCSPEC</v>
          </cell>
          <cell r="B260" t="str">
            <v>VAR_cap</v>
          </cell>
          <cell r="C260" t="str">
            <v>-</v>
          </cell>
          <cell r="D260">
            <v>6.6055322375819774</v>
          </cell>
          <cell r="E260">
            <v>6.2047593478247354</v>
          </cell>
          <cell r="F260">
            <v>4.7661752672516924</v>
          </cell>
          <cell r="G260">
            <v>3.9346834405082842</v>
          </cell>
          <cell r="H260">
            <v>3.3045744154542485</v>
          </cell>
          <cell r="I260">
            <v>2.67894989138735</v>
          </cell>
          <cell r="J260"/>
          <cell r="K260"/>
        </row>
        <row r="261">
          <cell r="A261" t="str">
            <v>D-ITOT_KEV_WST_ELC_CHP</v>
          </cell>
          <cell r="B261" t="str">
            <v>VAR_fout</v>
          </cell>
          <cell r="C261" t="str">
            <v>ITOT_ELC</v>
          </cell>
          <cell r="D261">
            <v>3.0239227751894687E-3</v>
          </cell>
          <cell r="E261">
            <v>1.1446152825882157E-3</v>
          </cell>
          <cell r="F261">
            <v>2.1507678722879533E-3</v>
          </cell>
          <cell r="G261">
            <v>0.33995208220694612</v>
          </cell>
          <cell r="H261">
            <v>0.30818097170585973</v>
          </cell>
          <cell r="I261">
            <v>0.49387451244040786</v>
          </cell>
          <cell r="J261"/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ELC5</v>
          </cell>
          <cell r="D262">
            <v>0.22704019337969555</v>
          </cell>
          <cell r="E262">
            <v>0.23985116608161711</v>
          </cell>
          <cell r="F262">
            <v>0.33459869323566405</v>
          </cell>
          <cell r="G262">
            <v>1.6814578144636133E-2</v>
          </cell>
          <cell r="H262">
            <v>3.9679741461472101E-2</v>
          </cell>
          <cell r="I262">
            <v>0.15937308653600382</v>
          </cell>
          <cell r="J262"/>
          <cell r="K262"/>
        </row>
        <row r="263">
          <cell r="A263" t="str">
            <v>D-ITOT_KEV_WST_ELC_CHP</v>
          </cell>
          <cell r="B263" t="str">
            <v>VAR_fin</v>
          </cell>
          <cell r="C263" t="str">
            <v>ITOT_KEV_WST_ELC_CHP</v>
          </cell>
          <cell r="D263">
            <v>0.23006411615488517</v>
          </cell>
          <cell r="E263">
            <v>0.24099578136420541</v>
          </cell>
          <cell r="F263">
            <v>0.33671081850772255</v>
          </cell>
          <cell r="G263">
            <v>0.35673153457826035</v>
          </cell>
          <cell r="H263">
            <v>0.34786071316733153</v>
          </cell>
          <cell r="I263">
            <v>0.65324759897641171</v>
          </cell>
          <cell r="J263"/>
        </row>
        <row r="264">
          <cell r="A264" t="str">
            <v>RHSA-WHCONBR5</v>
          </cell>
          <cell r="B264" t="str">
            <v>VAR_ncap</v>
          </cell>
          <cell r="C264" t="str">
            <v>-</v>
          </cell>
          <cell r="D264"/>
          <cell r="E264"/>
          <cell r="F264">
            <v>375</v>
          </cell>
          <cell r="G264">
            <v>3.6347564297944999</v>
          </cell>
          <cell r="H264"/>
          <cell r="I264"/>
          <cell r="J264"/>
        </row>
        <row r="265">
          <cell r="A265" t="str">
            <v>RHSA-WHCONBR5</v>
          </cell>
          <cell r="B265" t="str">
            <v>VAR_cap</v>
          </cell>
          <cell r="C265" t="str">
            <v>-</v>
          </cell>
          <cell r="D265"/>
          <cell r="E265"/>
          <cell r="F265">
            <v>375</v>
          </cell>
          <cell r="G265">
            <v>8.8490692579299548</v>
          </cell>
          <cell r="H265">
            <v>4.8452648587950193</v>
          </cell>
          <cell r="I265">
            <v>2.1770226232879963</v>
          </cell>
          <cell r="J265"/>
        </row>
        <row r="266">
          <cell r="A266" t="str">
            <v>D-RHNM_SOLELC</v>
          </cell>
          <cell r="B266" t="str">
            <v>VAR_fout</v>
          </cell>
          <cell r="C266" t="str">
            <v>ELC5</v>
          </cell>
          <cell r="D266"/>
          <cell r="E266">
            <v>1.1955194598932392E-4</v>
          </cell>
          <cell r="F266">
            <v>0.91229996130409474</v>
          </cell>
          <cell r="G266">
            <v>2.6861444642248244</v>
          </cell>
          <cell r="H266">
            <v>2.7673715967221431</v>
          </cell>
          <cell r="I266">
            <v>2.9546941090187788</v>
          </cell>
          <cell r="J266"/>
        </row>
        <row r="267">
          <cell r="A267" t="str">
            <v>D-RHNM_SOLELC</v>
          </cell>
          <cell r="B267" t="str">
            <v>VAR_fout</v>
          </cell>
          <cell r="C267" t="str">
            <v>RHNM_ELC</v>
          </cell>
          <cell r="D267"/>
          <cell r="E267">
            <v>1.1778055084534075E-4</v>
          </cell>
          <cell r="F267">
            <v>0.79648222518250145</v>
          </cell>
          <cell r="G267">
            <v>2.1776113268581963</v>
          </cell>
          <cell r="H267">
            <v>2.9321830651911496</v>
          </cell>
          <cell r="I267">
            <v>3.4199389703794112</v>
          </cell>
          <cell r="J267"/>
        </row>
        <row r="268">
          <cell r="A268" t="str">
            <v>D-RHNM_SOLELC</v>
          </cell>
          <cell r="B268" t="str">
            <v>VAR_fin</v>
          </cell>
          <cell r="C268" t="str">
            <v>RHNM_SOL_ELC</v>
          </cell>
          <cell r="D268"/>
          <cell r="E268">
            <v>2.2742381055620685E-4</v>
          </cell>
          <cell r="F268">
            <v>1.7087821864865969</v>
          </cell>
          <cell r="G268">
            <v>4.8637557910830234</v>
          </cell>
          <cell r="H268">
            <v>5.6995546619132922</v>
          </cell>
          <cell r="I268">
            <v>6.3746330793981834</v>
          </cell>
          <cell r="J268"/>
        </row>
        <row r="269">
          <cell r="A269" t="str">
            <v>RHNM-SHSTG-ELCHP</v>
          </cell>
          <cell r="B269" t="str">
            <v>VAR_fout</v>
          </cell>
          <cell r="C269" t="str">
            <v>RHNM-SHAELCH</v>
          </cell>
          <cell r="D269"/>
          <cell r="E269">
            <v>5.1410084405019924E-5</v>
          </cell>
          <cell r="F269">
            <v>0.1509741468471226</v>
          </cell>
          <cell r="G269">
            <v>0.28828537461151021</v>
          </cell>
          <cell r="H269">
            <v>0.36436293965993588</v>
          </cell>
          <cell r="I269">
            <v>0.47342994913275765</v>
          </cell>
          <cell r="J269"/>
        </row>
        <row r="270">
          <cell r="A270" t="str">
            <v>RHNM-SHSTG-ELCHP</v>
          </cell>
          <cell r="B270" t="str">
            <v>VAR_fin</v>
          </cell>
          <cell r="C270" t="str">
            <v>RHNM-SHAELCH</v>
          </cell>
          <cell r="D270"/>
          <cell r="E270">
            <v>7.8644973431688827E-5</v>
          </cell>
          <cell r="F270">
            <v>0.15098459299153297</v>
          </cell>
          <cell r="G270">
            <v>0.28831828179297797</v>
          </cell>
          <cell r="H270">
            <v>0.36441169706466153</v>
          </cell>
          <cell r="I270">
            <v>0.47348113311969658</v>
          </cell>
          <cell r="J270"/>
          <cell r="K270"/>
        </row>
        <row r="271">
          <cell r="A271" t="str">
            <v>RHNM-SHSTG-ELCHP</v>
          </cell>
          <cell r="B271" t="str">
            <v>VAR_ncap</v>
          </cell>
          <cell r="C271" t="str">
            <v>-</v>
          </cell>
          <cell r="D271">
            <v>6.6932776173517605E-5</v>
          </cell>
          <cell r="E271">
            <v>8.2133208928550399E-5</v>
          </cell>
          <cell r="F271">
            <v>1.7158962961197899E-2</v>
          </cell>
          <cell r="G271">
            <v>8.6858297884288595E-3</v>
          </cell>
          <cell r="H271">
            <v>2.4446635890103999E-2</v>
          </cell>
          <cell r="I271">
            <v>3.17205677112938E-2</v>
          </cell>
          <cell r="J271"/>
          <cell r="K271"/>
        </row>
        <row r="272">
          <cell r="A272" t="str">
            <v>RHNM-SHSTG-ELCHP</v>
          </cell>
          <cell r="B272" t="str">
            <v>VAR_cap</v>
          </cell>
          <cell r="C272" t="str">
            <v>-</v>
          </cell>
          <cell r="D272">
            <v>6.6932776173517605E-5</v>
          </cell>
          <cell r="E272">
            <v>9.5553808485598495E-5</v>
          </cell>
          <cell r="F272">
            <v>1.7222894203637245E-2</v>
          </cell>
          <cell r="G272">
            <v>2.5860768601734661E-2</v>
          </cell>
          <cell r="H272">
            <v>4.2234123446017582E-2</v>
          </cell>
          <cell r="I272">
            <v>5.3141277328826848E-2</v>
          </cell>
          <cell r="J272"/>
          <cell r="K272"/>
        </row>
        <row r="273">
          <cell r="A273" t="str">
            <v>D-SCOM_LTH</v>
          </cell>
          <cell r="B273" t="str">
            <v>VAR_fout</v>
          </cell>
          <cell r="C273" t="str">
            <v>SCOM_LTH_DH</v>
          </cell>
          <cell r="D273">
            <v>5.6100151390591604</v>
          </cell>
          <cell r="E273">
            <v>6.0767094627013618</v>
          </cell>
          <cell r="F273">
            <v>5.92831792876978</v>
          </cell>
          <cell r="G273">
            <v>7.6023148085013244</v>
          </cell>
          <cell r="H273">
            <v>9.2777175046102229</v>
          </cell>
          <cell r="I273">
            <v>8.9957532273073646</v>
          </cell>
          <cell r="J273"/>
          <cell r="K273"/>
        </row>
        <row r="274">
          <cell r="A274" t="str">
            <v>D-SCOM_LTH</v>
          </cell>
          <cell r="B274" t="str">
            <v>VAR_fin</v>
          </cell>
          <cell r="C274" t="str">
            <v>LTH</v>
          </cell>
          <cell r="D274">
            <v>6.0987921917619108</v>
          </cell>
          <cell r="E274">
            <v>6.6044114558876119</v>
          </cell>
          <cell r="F274">
            <v>6.4405945886977998</v>
          </cell>
          <cell r="G274">
            <v>8.253823687758775</v>
          </cell>
          <cell r="H274">
            <v>10.059601258999969</v>
          </cell>
          <cell r="I274">
            <v>9.7411041230834154</v>
          </cell>
          <cell r="J274"/>
          <cell r="K274"/>
        </row>
        <row r="275">
          <cell r="A275" t="str">
            <v>D-SCOM_LTH</v>
          </cell>
          <cell r="B275" t="str">
            <v>VAR_ncap</v>
          </cell>
          <cell r="C275" t="str">
            <v>-</v>
          </cell>
          <cell r="D275">
            <v>0.84970034787450099</v>
          </cell>
          <cell r="E275">
            <v>1.8225714752307301E-7</v>
          </cell>
          <cell r="F275">
            <v>2.12118524857114E-7</v>
          </cell>
          <cell r="G275">
            <v>2.2508782995382E-7</v>
          </cell>
          <cell r="H275">
            <v>5.7744356746298401E-7</v>
          </cell>
          <cell r="I275">
            <v>4.6327974574172201E-7</v>
          </cell>
          <cell r="J275"/>
          <cell r="K275"/>
        </row>
        <row r="276">
          <cell r="A276" t="str">
            <v>D-SCOM_LTH</v>
          </cell>
          <cell r="B276" t="str">
            <v>VAR_cap</v>
          </cell>
          <cell r="C276" t="str">
            <v>-</v>
          </cell>
          <cell r="D276">
            <v>0.84970034787450099</v>
          </cell>
          <cell r="E276">
            <v>0.84970053013164903</v>
          </cell>
          <cell r="F276">
            <v>0.849700742250173</v>
          </cell>
          <cell r="G276">
            <v>0.84970096733800304</v>
          </cell>
          <cell r="H276">
            <v>0.84970196614085203</v>
          </cell>
          <cell r="I276">
            <v>0.84970242942059704</v>
          </cell>
          <cell r="J276"/>
          <cell r="K276"/>
        </row>
        <row r="277">
          <cell r="A277" t="str">
            <v>ITOT-SWHBIOBR</v>
          </cell>
          <cell r="B277" t="str">
            <v>VAR_fout</v>
          </cell>
          <cell r="C277" t="str">
            <v>ITOT-SWH</v>
          </cell>
          <cell r="D277">
            <v>0.31056688600579913</v>
          </cell>
          <cell r="E277">
            <v>0.39253206429800241</v>
          </cell>
          <cell r="F277">
            <v>1.1781242617291272</v>
          </cell>
          <cell r="G277">
            <v>1.4846927394228921</v>
          </cell>
          <cell r="H277">
            <v>1.4848397770944792</v>
          </cell>
          <cell r="I277">
            <v>1.5036564649403095</v>
          </cell>
          <cell r="J277"/>
          <cell r="K277"/>
        </row>
        <row r="278">
          <cell r="A278" t="str">
            <v>ITOT-SWHBIOBR</v>
          </cell>
          <cell r="B278" t="str">
            <v>VAR_fin</v>
          </cell>
          <cell r="C278" t="str">
            <v>IBIO</v>
          </cell>
          <cell r="D278">
            <v>0.43680293390407765</v>
          </cell>
          <cell r="E278">
            <v>0.55208447861884991</v>
          </cell>
          <cell r="F278">
            <v>1.6569961487048186</v>
          </cell>
          <cell r="G278">
            <v>2.0881754422262904</v>
          </cell>
          <cell r="H278">
            <v>2.0883822462650889</v>
          </cell>
          <cell r="I278">
            <v>2.0884117568615412</v>
          </cell>
          <cell r="J278"/>
        </row>
        <row r="279">
          <cell r="A279" t="str">
            <v>ITOT-SWHBIOBR</v>
          </cell>
          <cell r="B279" t="str">
            <v>VAR_ncap</v>
          </cell>
          <cell r="C279" t="str">
            <v>-</v>
          </cell>
          <cell r="D279"/>
          <cell r="E279">
            <v>1.5735297743059502E-2</v>
          </cell>
          <cell r="F279">
            <v>3.3500303543760199E-2</v>
          </cell>
          <cell r="G279">
            <v>6.5538455779864599E-2</v>
          </cell>
          <cell r="H279">
            <v>5.6895918020774101E-2</v>
          </cell>
          <cell r="I279">
            <v>0.155988036468927</v>
          </cell>
          <cell r="J279"/>
          <cell r="K279"/>
        </row>
        <row r="280">
          <cell r="A280" t="str">
            <v>ITOT-SWHBIOBR</v>
          </cell>
          <cell r="B280" t="str">
            <v>VAR_cap</v>
          </cell>
          <cell r="C280" t="str">
            <v>-</v>
          </cell>
          <cell r="D280">
            <v>1.7013611085743299E-2</v>
          </cell>
          <cell r="E280">
            <v>3.2737297937688994E-2</v>
          </cell>
          <cell r="F280">
            <v>6.6214422345733978E-2</v>
          </cell>
          <cell r="G280">
            <v>0.11690229950078161</v>
          </cell>
          <cell r="H280">
            <v>0.10785911819914226</v>
          </cell>
          <cell r="I280">
            <v>0.15609342311934138</v>
          </cell>
          <cell r="J280"/>
          <cell r="K280"/>
        </row>
        <row r="281">
          <cell r="A281" t="str">
            <v>RHNS-SHPLTBR</v>
          </cell>
          <cell r="B281" t="str">
            <v>VAR_fout</v>
          </cell>
          <cell r="C281" t="str">
            <v>RHNS-SHPLT</v>
          </cell>
          <cell r="D281"/>
          <cell r="E281"/>
          <cell r="F281">
            <v>6.9768161591255871E-4</v>
          </cell>
          <cell r="G281">
            <v>5.5830758739063057E-3</v>
          </cell>
          <cell r="H281">
            <v>6.5845353518649433E-3</v>
          </cell>
          <cell r="I281">
            <v>9.3196657497206913E-3</v>
          </cell>
          <cell r="J281"/>
        </row>
        <row r="282">
          <cell r="A282" t="str">
            <v>RHNS-SHPLTBR</v>
          </cell>
          <cell r="B282" t="str">
            <v>VAR_fin</v>
          </cell>
          <cell r="C282" t="str">
            <v>RPLT</v>
          </cell>
          <cell r="D282"/>
          <cell r="E282"/>
          <cell r="F282">
            <v>9.3850705126171459E-4</v>
          </cell>
          <cell r="G282">
            <v>7.3171554035434553E-3</v>
          </cell>
          <cell r="H282">
            <v>8.5865132686446625E-3</v>
          </cell>
          <cell r="I282">
            <v>1.2043831747022407E-2</v>
          </cell>
          <cell r="J282"/>
          <cell r="K282"/>
        </row>
        <row r="283">
          <cell r="A283" t="str">
            <v>RHNS-SHPLTBR</v>
          </cell>
          <cell r="B283" t="str">
            <v>VAR_ncap</v>
          </cell>
          <cell r="C283" t="str">
            <v>-</v>
          </cell>
          <cell r="D283"/>
          <cell r="E283">
            <v>4.9512391874859403E-7</v>
          </cell>
          <cell r="F283">
            <v>1.7133092099959999E-4</v>
          </cell>
          <cell r="G283">
            <v>4.0939171804918299E-4</v>
          </cell>
          <cell r="H283">
            <v>2.2853361913230901E-4</v>
          </cell>
          <cell r="I283">
            <v>5.46589401375267E-4</v>
          </cell>
          <cell r="J283"/>
          <cell r="K283"/>
        </row>
        <row r="284">
          <cell r="A284" t="str">
            <v>RHNS-SHPLTBR</v>
          </cell>
          <cell r="B284" t="str">
            <v>VAR_cap</v>
          </cell>
          <cell r="C284" t="str">
            <v>-</v>
          </cell>
          <cell r="D284"/>
          <cell r="E284">
            <v>4.9512391874859403E-7</v>
          </cell>
          <cell r="F284">
            <v>1.7150542371702191E-4</v>
          </cell>
          <cell r="G284">
            <v>5.8008791730474385E-4</v>
          </cell>
          <cell r="H284">
            <v>5.5032939552974471E-4</v>
          </cell>
          <cell r="I284">
            <v>7.1758337201383905E-4</v>
          </cell>
          <cell r="J284"/>
          <cell r="K284"/>
        </row>
        <row r="285">
          <cell r="A285" t="str">
            <v>D-RHNM_KEV_WOD_ELC_CHP</v>
          </cell>
          <cell r="B285" t="str">
            <v>VAR_fout</v>
          </cell>
          <cell r="C285" t="str">
            <v>ELC5</v>
          </cell>
          <cell r="D285"/>
          <cell r="E285"/>
          <cell r="F285"/>
          <cell r="G285">
            <v>2.1376073026327493E-3</v>
          </cell>
          <cell r="H285">
            <v>2.9008625168917654E-2</v>
          </cell>
          <cell r="I285">
            <v>3.1189314598790751E-3</v>
          </cell>
          <cell r="J285"/>
          <cell r="K285"/>
        </row>
        <row r="286">
          <cell r="A286" t="str">
            <v>D-RHNM_KEV_WOD_ELC_CHP</v>
          </cell>
          <cell r="B286" t="str">
            <v>VAR_fout</v>
          </cell>
          <cell r="C286" t="str">
            <v>RHNM_ELC</v>
          </cell>
          <cell r="D286"/>
          <cell r="E286"/>
          <cell r="F286"/>
          <cell r="G286">
            <v>7.1058375233215391E-4</v>
          </cell>
          <cell r="H286">
            <v>2.8947382718134448E-2</v>
          </cell>
          <cell r="I286">
            <v>3.1169922192405921E-3</v>
          </cell>
          <cell r="J286"/>
        </row>
        <row r="287">
          <cell r="A287" t="str">
            <v>D-RHNM_KEV_WOD_ELC_CHP</v>
          </cell>
          <cell r="B287" t="str">
            <v>VAR_fin</v>
          </cell>
          <cell r="C287" t="str">
            <v>RHNM_KEV_WOD_ELC_CHP</v>
          </cell>
          <cell r="D287"/>
          <cell r="E287"/>
          <cell r="F287"/>
          <cell r="G287">
            <v>2.8300745384030219E-3</v>
          </cell>
          <cell r="H287">
            <v>5.7927222328898402E-2</v>
          </cell>
          <cell r="I287">
            <v>6.2105544039685514E-3</v>
          </cell>
          <cell r="J287"/>
          <cell r="K287"/>
        </row>
        <row r="288">
          <cell r="A288" t="str">
            <v>SCOM-SHLTHCHPNGA</v>
          </cell>
          <cell r="B288" t="str">
            <v>VAR_fout</v>
          </cell>
          <cell r="C288" t="str">
            <v>SCOM-SHLTHC-NGA</v>
          </cell>
          <cell r="D288">
            <v>0.68566323180498234</v>
          </cell>
          <cell r="E288">
            <v>0.74270579183185814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SCOMLTHCHPC</v>
          </cell>
          <cell r="D289">
            <v>0.68566323180498234</v>
          </cell>
          <cell r="E289">
            <v>0.74270579183185814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VAR_fin</v>
          </cell>
          <cell r="C290" t="str">
            <v>SCOM_LTH_CHPNGA_ON</v>
          </cell>
          <cell r="D290">
            <v>0.69258912303533549</v>
          </cell>
          <cell r="E290">
            <v>0.75020787053723026</v>
          </cell>
          <cell r="F290"/>
          <cell r="G290"/>
          <cell r="H290"/>
          <cell r="I290"/>
          <cell r="J290"/>
          <cell r="K290"/>
        </row>
        <row r="291">
          <cell r="A291" t="str">
            <v>SCOM-SHLTHCHPNGA</v>
          </cell>
          <cell r="B291" t="str">
            <v>VAR_ncap</v>
          </cell>
          <cell r="C291" t="str">
            <v>-</v>
          </cell>
          <cell r="D291">
            <v>1.9164775389010899E-7</v>
          </cell>
          <cell r="E291">
            <v>4.1145675208157297E-2</v>
          </cell>
          <cell r="F291">
            <v>1.2306691676082599E-3</v>
          </cell>
          <cell r="G291">
            <v>1.8080259738275899E-4</v>
          </cell>
          <cell r="H291">
            <v>1.6808902961587199E-4</v>
          </cell>
          <cell r="I291">
            <v>9.9567586463560903E-7</v>
          </cell>
          <cell r="J291"/>
          <cell r="K291"/>
        </row>
        <row r="292">
          <cell r="A292" t="str">
            <v>SCOM-SHLTHCHPNGA</v>
          </cell>
          <cell r="B292" t="str">
            <v>VAR_cap</v>
          </cell>
          <cell r="C292" t="str">
            <v>-</v>
          </cell>
          <cell r="D292">
            <v>7.5969460606280792E-2</v>
          </cell>
          <cell r="E292">
            <v>5.7389059719171708E-2</v>
          </cell>
          <cell r="F292">
            <v>1.8891936344514054E-3</v>
          </cell>
          <cell r="G292">
            <v>3.9647797963909825E-4</v>
          </cell>
          <cell r="H292">
            <v>2.5260384184680495E-4</v>
          </cell>
          <cell r="I292">
            <v>1.6709877014497651E-7</v>
          </cell>
          <cell r="J292"/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2093.6587203326199</v>
          </cell>
          <cell r="H293">
            <v>2077.41986715648</v>
          </cell>
          <cell r="I293">
            <v>2063.7516941403901</v>
          </cell>
          <cell r="J293"/>
          <cell r="K293"/>
        </row>
        <row r="294">
          <cell r="A294" t="str">
            <v>ITOT-PROCESSCO2</v>
          </cell>
          <cell r="B294" t="str">
            <v>VAR_fout</v>
          </cell>
          <cell r="C294" t="str">
            <v>CO2P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2093.6587203326235</v>
          </cell>
          <cell r="H294">
            <v>2077.4198671564836</v>
          </cell>
          <cell r="I294">
            <v>2063.7516941403874</v>
          </cell>
          <cell r="J294"/>
          <cell r="K294"/>
        </row>
        <row r="295">
          <cell r="A295" t="str">
            <v>RHNM-SHWODBR</v>
          </cell>
          <cell r="B295" t="str">
            <v>VAR_fout</v>
          </cell>
          <cell r="C295" t="str">
            <v>RHNM-SHWOD</v>
          </cell>
          <cell r="D295"/>
          <cell r="E295">
            <v>8.1156679101749757E-2</v>
          </cell>
          <cell r="F295">
            <v>5.4322343911430079E-2</v>
          </cell>
          <cell r="G295">
            <v>9.2773411932805208E-2</v>
          </cell>
          <cell r="H295">
            <v>0.12004344700969538</v>
          </cell>
          <cell r="I295">
            <v>0.12506925056747309</v>
          </cell>
          <cell r="J295"/>
          <cell r="K295"/>
        </row>
        <row r="296">
          <cell r="A296" t="str">
            <v>RHNM-SHWODBR</v>
          </cell>
          <cell r="B296" t="str">
            <v>VAR_fin</v>
          </cell>
          <cell r="C296" t="str">
            <v>RHNMWODBRC</v>
          </cell>
          <cell r="D296"/>
          <cell r="E296">
            <v>8.1156679101749757E-2</v>
          </cell>
          <cell r="F296">
            <v>5.4322343911430079E-2</v>
          </cell>
          <cell r="G296">
            <v>9.2773411932805208E-2</v>
          </cell>
          <cell r="H296">
            <v>0.12004344700969538</v>
          </cell>
          <cell r="I296">
            <v>0.12506925056747309</v>
          </cell>
          <cell r="J296"/>
          <cell r="K296"/>
        </row>
        <row r="297">
          <cell r="A297" t="str">
            <v>RHNM-SHWODBR</v>
          </cell>
          <cell r="B297" t="str">
            <v>VAR_fin</v>
          </cell>
          <cell r="C297" t="str">
            <v>RWOD</v>
          </cell>
          <cell r="D297"/>
          <cell r="E297">
            <v>0.11271760986354135</v>
          </cell>
          <cell r="F297">
            <v>7.3264042105327207E-2</v>
          </cell>
          <cell r="G297">
            <v>0.12338466265071388</v>
          </cell>
          <cell r="H297">
            <v>0.15768556772839804</v>
          </cell>
          <cell r="I297">
            <v>0.16428731657051165</v>
          </cell>
          <cell r="J297"/>
          <cell r="K297"/>
        </row>
        <row r="298">
          <cell r="A298" t="str">
            <v>RHNM-SHWODBR</v>
          </cell>
          <cell r="B298" t="str">
            <v>VAR_ncap</v>
          </cell>
          <cell r="C298" t="str">
            <v>-</v>
          </cell>
          <cell r="D298"/>
          <cell r="E298">
            <v>6.4452888748032103E-3</v>
          </cell>
          <cell r="F298">
            <v>9.2489684238659302E-4</v>
          </cell>
          <cell r="G298"/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VAR_cap</v>
          </cell>
          <cell r="C299" t="str">
            <v>-</v>
          </cell>
          <cell r="D299"/>
          <cell r="E299">
            <v>6.4452888748032103E-3</v>
          </cell>
          <cell r="F299">
            <v>7.3688517857639487E-3</v>
          </cell>
          <cell r="G299">
            <v>7.3687446782368131E-3</v>
          </cell>
          <cell r="H299">
            <v>2.3174655801280506E-2</v>
          </cell>
          <cell r="I299">
            <v>9.7458875064630451E-3</v>
          </cell>
          <cell r="J299"/>
          <cell r="K299"/>
        </row>
        <row r="300">
          <cell r="A300" t="str">
            <v>RHNS-SHDEM</v>
          </cell>
          <cell r="B300" t="str">
            <v>VAR_fout</v>
          </cell>
          <cell r="C300" t="str">
            <v>RHNS-SHD</v>
          </cell>
          <cell r="D300"/>
          <cell r="E300">
            <v>0.40468474157116097</v>
          </cell>
          <cell r="F300">
            <v>1.377500014353529</v>
          </cell>
          <cell r="G300">
            <v>2.6284827552413619</v>
          </cell>
          <cell r="H300">
            <v>3.9799445982132964</v>
          </cell>
          <cell r="I300">
            <v>4.7581542116121396</v>
          </cell>
          <cell r="J300"/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RHNS-SHLTHC-WOD</v>
          </cell>
          <cell r="D301"/>
          <cell r="E301">
            <v>3.1780239560456383E-5</v>
          </cell>
          <cell r="F301"/>
          <cell r="G301">
            <v>2.9685409409452003E-4</v>
          </cell>
          <cell r="H301">
            <v>1.020572598517371E-5</v>
          </cell>
          <cell r="I301">
            <v>4.7927038873351304E-6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RHNS-SHLFO</v>
          </cell>
          <cell r="D302"/>
          <cell r="E302">
            <v>7.5985425806841193E-4</v>
          </cell>
          <cell r="F302">
            <v>1.9893330015210299E-2</v>
          </cell>
          <cell r="G302">
            <v>4.5109312342556267E-2</v>
          </cell>
          <cell r="H302">
            <v>3.901200054416816E-2</v>
          </cell>
          <cell r="I302"/>
          <cell r="J302"/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RHNS-SHNGAH</v>
          </cell>
          <cell r="D303"/>
          <cell r="E303">
            <v>1.1780635361400332E-4</v>
          </cell>
          <cell r="F303">
            <v>0.18885035949882351</v>
          </cell>
          <cell r="G303">
            <v>0.62790755460258596</v>
          </cell>
          <cell r="H303">
            <v>1.0476597082072145</v>
          </cell>
          <cell r="I303">
            <v>1.2414412011592599</v>
          </cell>
          <cell r="J303"/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RHNS-SHCON</v>
          </cell>
          <cell r="D304"/>
          <cell r="E304"/>
          <cell r="F304">
            <v>3.7309368395951879E-3</v>
          </cell>
          <cell r="G304">
            <v>3.6319149233709747E-3</v>
          </cell>
          <cell r="H304">
            <v>1.0111219995153553E-2</v>
          </cell>
          <cell r="I304">
            <v>1.0201815616448421E-2</v>
          </cell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RHNS-SHWOD</v>
          </cell>
          <cell r="D305"/>
          <cell r="E305">
            <v>2.6228470601265253E-2</v>
          </cell>
          <cell r="F305">
            <v>2.3066840712543692E-2</v>
          </cell>
          <cell r="G305">
            <v>6.6010816248995921E-2</v>
          </cell>
          <cell r="H305">
            <v>7.5856650891952065E-2</v>
          </cell>
          <cell r="I305">
            <v>8.7715471310789841E-2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RHNS-SHNST</v>
          </cell>
          <cell r="D306"/>
          <cell r="E306">
            <v>7.973708758388116E-5</v>
          </cell>
          <cell r="F306">
            <v>4.9847901131119343E-4</v>
          </cell>
          <cell r="G306">
            <v>2.654742587321051E-4</v>
          </cell>
          <cell r="H306">
            <v>2.844816829959487E-4</v>
          </cell>
          <cell r="I306">
            <v>4.578348079233419E-4</v>
          </cell>
          <cell r="J306"/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RHNS-SHPLT</v>
          </cell>
          <cell r="D307"/>
          <cell r="E307">
            <v>1.9068991733731458E-4</v>
          </cell>
          <cell r="F307">
            <v>1.1672616890627302E-3</v>
          </cell>
          <cell r="G307">
            <v>5.7446667118779939E-3</v>
          </cell>
          <cell r="H307">
            <v>6.7834050117859708E-3</v>
          </cell>
          <cell r="I307">
            <v>9.3898870193858692E-3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RHNS-SHLTHD</v>
          </cell>
          <cell r="D308"/>
          <cell r="E308">
            <v>5.3621438422130643E-2</v>
          </cell>
          <cell r="F308">
            <v>2.8868598449068319E-3</v>
          </cell>
          <cell r="G308">
            <v>0.14703419057775602</v>
          </cell>
          <cell r="H308">
            <v>0.16972894440434813</v>
          </cell>
          <cell r="I308">
            <v>0.19862259773256929</v>
          </cell>
          <cell r="J308"/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RHNS-SHELCB</v>
          </cell>
          <cell r="D309"/>
          <cell r="E309">
            <v>6.8352825042475973E-2</v>
          </cell>
          <cell r="F309">
            <v>4.3658973942970235E-3</v>
          </cell>
          <cell r="G309">
            <v>9.5654717927605212E-3</v>
          </cell>
          <cell r="H309">
            <v>9.7542303332629598E-3</v>
          </cell>
          <cell r="I309">
            <v>8.7439082799297806E-3</v>
          </cell>
          <cell r="J309"/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RHNS-SHELCH</v>
          </cell>
          <cell r="D310"/>
          <cell r="E310">
            <v>0.13995888281696742</v>
          </cell>
          <cell r="F310">
            <v>1.0946211158248318</v>
          </cell>
          <cell r="G310">
            <v>1.6643832647288808</v>
          </cell>
          <cell r="H310">
            <v>2.5687407100744508</v>
          </cell>
          <cell r="I310">
            <v>3.1786928335971325</v>
          </cell>
          <cell r="J310"/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RHNS-SHSOL</v>
          </cell>
          <cell r="D311"/>
          <cell r="E311">
            <v>1.3130508735126166E-2</v>
          </cell>
          <cell r="F311">
            <v>8.1585311932835108E-4</v>
          </cell>
          <cell r="G311">
            <v>1.0373659764416868E-3</v>
          </cell>
          <cell r="H311">
            <v>1.2909222755461101E-3</v>
          </cell>
          <cell r="I311">
            <v>1.1746240813784194E-3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RHNS-SHLTHC-NGA</v>
          </cell>
          <cell r="D312"/>
          <cell r="E312">
            <v>1.2401998749813404E-3</v>
          </cell>
          <cell r="F312"/>
          <cell r="G312"/>
          <cell r="H312">
            <v>4.0210469195797272E-4</v>
          </cell>
          <cell r="I312"/>
          <cell r="J312"/>
        </row>
        <row r="313">
          <cell r="A313" t="str">
            <v>RHNS-SHDEM</v>
          </cell>
          <cell r="B313" t="str">
            <v>VAR_fin</v>
          </cell>
          <cell r="C313" t="str">
            <v>RHNS-SHNGA</v>
          </cell>
          <cell r="D313"/>
          <cell r="E313">
            <v>0.10136541608812805</v>
          </cell>
          <cell r="F313">
            <v>3.84374799927008E-2</v>
          </cell>
          <cell r="G313">
            <v>5.8158856045200859E-2</v>
          </cell>
          <cell r="H313">
            <v>5.0901822357944881E-2</v>
          </cell>
          <cell r="I313">
            <v>2.2170901620905986E-2</v>
          </cell>
          <cell r="J313"/>
          <cell r="K313"/>
        </row>
        <row r="314">
          <cell r="A314" t="str">
            <v>RES-ELCSPEC</v>
          </cell>
          <cell r="B314" t="str">
            <v>VAR_fout</v>
          </cell>
          <cell r="C314" t="str">
            <v>RHSA-ELS</v>
          </cell>
          <cell r="D314">
            <v>44.57691135382418</v>
          </cell>
          <cell r="E314">
            <v>44.86119076897927</v>
          </cell>
          <cell r="F314">
            <v>49.523394457968855</v>
          </cell>
          <cell r="G314">
            <v>40.726413853312224</v>
          </cell>
          <cell r="H314">
            <v>32.10408732545428</v>
          </cell>
          <cell r="I314">
            <v>22.280794284202507</v>
          </cell>
          <cell r="J314"/>
        </row>
        <row r="315">
          <cell r="A315" t="str">
            <v>RES-ELCSPEC</v>
          </cell>
          <cell r="B315" t="str">
            <v>VAR_fin</v>
          </cell>
          <cell r="C315" t="str">
            <v>RHSA_ELC</v>
          </cell>
          <cell r="D315">
            <v>44.57691135382418</v>
          </cell>
          <cell r="E315">
            <v>44.86119076897927</v>
          </cell>
          <cell r="F315">
            <v>49.523394457968855</v>
          </cell>
          <cell r="G315">
            <v>40.726413853312224</v>
          </cell>
          <cell r="H315">
            <v>32.10408732545428</v>
          </cell>
          <cell r="I315">
            <v>22.280794284202507</v>
          </cell>
          <cell r="J315"/>
        </row>
        <row r="316">
          <cell r="A316" t="str">
            <v>RES-ELCSPEC</v>
          </cell>
          <cell r="B316" t="str">
            <v>VAR_ncap</v>
          </cell>
          <cell r="C316" t="str">
            <v>-</v>
          </cell>
          <cell r="D316">
            <v>0.19321790869452099</v>
          </cell>
          <cell r="E316">
            <v>3.10825954908503E-5</v>
          </cell>
          <cell r="F316">
            <v>0.47630552101471701</v>
          </cell>
          <cell r="G316">
            <v>5.97776119827716E-6</v>
          </cell>
          <cell r="H316">
            <v>4.7932184809538203E-6</v>
          </cell>
          <cell r="I316">
            <v>1.88653219338148</v>
          </cell>
          <cell r="J316"/>
          <cell r="K316"/>
        </row>
        <row r="317">
          <cell r="A317" t="str">
            <v>RES-ELCSPEC</v>
          </cell>
          <cell r="B317" t="str">
            <v>VAR_cap</v>
          </cell>
          <cell r="C317" t="str">
            <v>-</v>
          </cell>
          <cell r="D317">
            <v>4.7117545928249909</v>
          </cell>
          <cell r="E317">
            <v>4.7424009862612921</v>
          </cell>
          <cell r="F317">
            <v>5.2345897903985694</v>
          </cell>
          <cell r="G317">
            <v>4.3047699461073785</v>
          </cell>
          <cell r="H317">
            <v>3.39343426464273</v>
          </cell>
          <cell r="I317">
            <v>2.355066856436181</v>
          </cell>
          <cell r="J317"/>
          <cell r="K317"/>
          <cell r="L317"/>
          <cell r="M317"/>
        </row>
        <row r="318">
          <cell r="A318" t="str">
            <v>SCOM-SHCONBR1</v>
          </cell>
          <cell r="B318" t="str">
            <v>VAR_fout</v>
          </cell>
          <cell r="C318" t="str">
            <v>SCOM-SHCON</v>
          </cell>
          <cell r="D318"/>
          <cell r="E318">
            <v>2.6178601605942289</v>
          </cell>
          <cell r="F318">
            <v>0.73033495311669105</v>
          </cell>
          <cell r="G318">
            <v>1.3592556351369911</v>
          </cell>
          <cell r="H318">
            <v>2.6178037987158143</v>
          </cell>
          <cell r="I318">
            <v>2.6178157199405891</v>
          </cell>
          <cell r="J318"/>
          <cell r="K318"/>
        </row>
        <row r="319">
          <cell r="A319" t="str">
            <v>SCOM-SHCONBR1</v>
          </cell>
          <cell r="B319" t="str">
            <v>VAR_fin</v>
          </cell>
          <cell r="C319" t="str">
            <v>CON</v>
          </cell>
          <cell r="D319"/>
          <cell r="E319">
            <v>2.6178601605942289</v>
          </cell>
          <cell r="F319">
            <v>0.73033495311669105</v>
          </cell>
          <cell r="G319">
            <v>1.3592556351369911</v>
          </cell>
          <cell r="H319">
            <v>2.6178037987158143</v>
          </cell>
          <cell r="I319">
            <v>2.6178157199405891</v>
          </cell>
          <cell r="J319"/>
        </row>
        <row r="320">
          <cell r="A320" t="str">
            <v>SCOM-SHCONBR1</v>
          </cell>
          <cell r="B320" t="str">
            <v>VAR_ncap</v>
          </cell>
          <cell r="C320" t="str">
            <v>-</v>
          </cell>
          <cell r="E320">
            <v>0.20231727289127399</v>
          </cell>
          <cell r="F320">
            <v>6.4800141041577799E-7</v>
          </cell>
          <cell r="G320">
            <v>1.1099483246054701E-6</v>
          </cell>
          <cell r="H320">
            <v>1.87557913421415E-2</v>
          </cell>
          <cell r="I320">
            <v>8.4783192443301195E-2</v>
          </cell>
          <cell r="J320"/>
        </row>
        <row r="321">
          <cell r="A321" t="str">
            <v>SCOM-SHCONBR1</v>
          </cell>
          <cell r="B321" t="str">
            <v>VAR_cap</v>
          </cell>
          <cell r="C321" t="str">
            <v>-</v>
          </cell>
          <cell r="D321"/>
          <cell r="E321">
            <v>0.20231727289127399</v>
          </cell>
          <cell r="F321">
            <v>0.20231653055454477</v>
          </cell>
          <cell r="G321">
            <v>0.20231623837843266</v>
          </cell>
          <cell r="H321">
            <v>0.22107397677782439</v>
          </cell>
          <cell r="I321">
            <v>0.22050035795490311</v>
          </cell>
          <cell r="J321"/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RHSA-WHASOL</v>
          </cell>
          <cell r="D322">
            <v>6.7045151931198355E-5</v>
          </cell>
          <cell r="E322">
            <v>1.5095277649307351E-5</v>
          </cell>
          <cell r="F322">
            <v>3.2312286547068129E-2</v>
          </cell>
          <cell r="G322">
            <v>0.191519515617986</v>
          </cell>
          <cell r="H322">
            <v>0.43224180543038354</v>
          </cell>
          <cell r="I322">
            <v>0.40027402870979434</v>
          </cell>
          <cell r="J322"/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3.9972255549427881E-6</v>
          </cell>
          <cell r="E323">
            <v>9.5959081017952418E-5</v>
          </cell>
          <cell r="F323">
            <v>3.2390114338714734E-2</v>
          </cell>
          <cell r="G323">
            <v>0.19156221765818915</v>
          </cell>
          <cell r="H323">
            <v>0.43226960162056871</v>
          </cell>
          <cell r="I323">
            <v>0.4003053279538078</v>
          </cell>
          <cell r="J323"/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2.4849677314876199E-2</v>
          </cell>
          <cell r="E324">
            <v>5.3315708447906202E-2</v>
          </cell>
          <cell r="F324">
            <v>1.0820301153379499E-6</v>
          </cell>
          <cell r="G324">
            <v>2.4585591533734899E-6</v>
          </cell>
          <cell r="H324">
            <v>4.8351481606356599E-2</v>
          </cell>
          <cell r="I324">
            <v>1.6739241998065799E-2</v>
          </cell>
          <cell r="J324"/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2.4850739867839797E-2</v>
          </cell>
          <cell r="E325">
            <v>7.8166448315745998E-2</v>
          </cell>
          <cell r="F325">
            <v>7.8167530345861408E-2</v>
          </cell>
          <cell r="G325">
            <v>7.8169988905014795E-2</v>
          </cell>
          <cell r="H325">
            <v>7.3970025163448097E-2</v>
          </cell>
          <cell r="I325">
            <v>6.2665248684613498E-2</v>
          </cell>
          <cell r="J325"/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4.0773293879894101</v>
          </cell>
          <cell r="F326">
            <v>0.99556548239195841</v>
          </cell>
          <cell r="G326">
            <v>2.1921394897925683</v>
          </cell>
          <cell r="H326">
            <v>4.0772766907165741</v>
          </cell>
          <cell r="I326">
            <v>4.077291466533314</v>
          </cell>
          <cell r="J326"/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4.0773293879894101</v>
          </cell>
          <cell r="F327">
            <v>0.99556548239195841</v>
          </cell>
          <cell r="G327">
            <v>2.1921394897925683</v>
          </cell>
          <cell r="H327">
            <v>4.0772766907165741</v>
          </cell>
          <cell r="I327">
            <v>4.077291466533314</v>
          </cell>
          <cell r="J327"/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0.31508881628068203</v>
          </cell>
          <cell r="F328">
            <v>5.78291860179855E-7</v>
          </cell>
          <cell r="G328">
            <v>1.0803272492053899E-6</v>
          </cell>
          <cell r="H328">
            <v>1.2114289820079401E-2</v>
          </cell>
          <cell r="I328">
            <v>0.134649663849849</v>
          </cell>
          <cell r="J328"/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0.31508881628068203</v>
          </cell>
          <cell r="F329">
            <v>0.3150879814607831</v>
          </cell>
          <cell r="G329">
            <v>0.31508768077750288</v>
          </cell>
          <cell r="H329">
            <v>0.32720397802092244</v>
          </cell>
          <cell r="I329">
            <v>0.3289186040197411</v>
          </cell>
          <cell r="J329"/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2.4057972170070632</v>
          </cell>
          <cell r="F330">
            <v>0.58808682314406957</v>
          </cell>
          <cell r="G330">
            <v>1.1427940436782857</v>
          </cell>
          <cell r="H330">
            <v>2.4958820947070541</v>
          </cell>
          <cell r="I330">
            <v>3.276248982255884</v>
          </cell>
          <cell r="J330"/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2.4057972170070632</v>
          </cell>
          <cell r="F331">
            <v>0.58808682314406957</v>
          </cell>
          <cell r="G331">
            <v>1.1427940436782857</v>
          </cell>
          <cell r="H331">
            <v>2.4958820947070541</v>
          </cell>
          <cell r="I331">
            <v>3.276248982255884</v>
          </cell>
          <cell r="J331"/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0.18591457144352699</v>
          </cell>
          <cell r="F332">
            <v>4.0562113531758202E-7</v>
          </cell>
          <cell r="G332">
            <v>9.4126921209719598E-7</v>
          </cell>
          <cell r="H332">
            <v>7.0390482726923002E-3</v>
          </cell>
          <cell r="I332">
            <v>0.13868047679193901</v>
          </cell>
          <cell r="J332"/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0.18591457144352699</v>
          </cell>
          <cell r="F333">
            <v>0.18591364236958247</v>
          </cell>
          <cell r="G333">
            <v>0.18591345698410219</v>
          </cell>
          <cell r="H333">
            <v>0.19295436301069563</v>
          </cell>
          <cell r="I333">
            <v>0.25319809113615827</v>
          </cell>
          <cell r="J333"/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6.7797245250894424E-3</v>
          </cell>
          <cell r="F334">
            <v>3.3585328137045126E-3</v>
          </cell>
          <cell r="G334">
            <v>3.4282188565093203E-3</v>
          </cell>
          <cell r="H334">
            <v>6.4853353933496879E-3</v>
          </cell>
          <cell r="I334">
            <v>3.2716481701291267</v>
          </cell>
          <cell r="J334"/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6.7797245250894424E-3</v>
          </cell>
          <cell r="F335">
            <v>3.3585328137045126E-3</v>
          </cell>
          <cell r="G335">
            <v>3.4282188565093203E-3</v>
          </cell>
          <cell r="H335">
            <v>6.4853353933496879E-3</v>
          </cell>
          <cell r="I335">
            <v>3.2716481701291267</v>
          </cell>
          <cell r="J335"/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5.3765514950590196E-4</v>
          </cell>
          <cell r="F336">
            <v>4.2387707648555998E-7</v>
          </cell>
          <cell r="G336">
            <v>1.017062927326E-6</v>
          </cell>
          <cell r="H336">
            <v>9.6123498663825308E-6</v>
          </cell>
          <cell r="I336">
            <v>0.25250500441927398</v>
          </cell>
          <cell r="J336"/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5.3765514950590196E-4</v>
          </cell>
          <cell r="F337">
            <v>5.3739211306609287E-4</v>
          </cell>
          <cell r="G337">
            <v>5.3762832110733339E-4</v>
          </cell>
          <cell r="H337">
            <v>5.4821547903997577E-4</v>
          </cell>
          <cell r="I337">
            <v>0.25282674532863947</v>
          </cell>
          <cell r="J337"/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1127.9644142166501</v>
          </cell>
          <cell r="E338">
            <v>1118.4013944087601</v>
          </cell>
          <cell r="F338">
            <v>1270.48728493208</v>
          </cell>
          <cell r="G338">
            <v>915.97642063796002</v>
          </cell>
          <cell r="H338">
            <v>242.94900851278899</v>
          </cell>
          <cell r="I338">
            <v>97.949820193129696</v>
          </cell>
          <cell r="J338"/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18.999400594074725</v>
          </cell>
          <cell r="E339">
            <v>18.838321359722002</v>
          </cell>
          <cell r="F339">
            <v>21.244761200096175</v>
          </cell>
          <cell r="G339">
            <v>15.31672182174775</v>
          </cell>
          <cell r="H339">
            <v>4.0625307556149597</v>
          </cell>
          <cell r="I339">
            <v>1.6378916690273198</v>
          </cell>
          <cell r="J339"/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19.999369046394438</v>
          </cell>
          <cell r="E340">
            <v>19.829811957602093</v>
          </cell>
          <cell r="F340">
            <v>22.526370300214253</v>
          </cell>
          <cell r="G340">
            <v>16.240716677978035</v>
          </cell>
          <cell r="H340">
            <v>4.3076065339147025</v>
          </cell>
          <cell r="I340">
            <v>1.7366989395944994</v>
          </cell>
          <cell r="J340"/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1.69402141332293E-5</v>
          </cell>
          <cell r="F341">
            <v>0.153416350009246</v>
          </cell>
          <cell r="G341">
            <v>1.4848141299315099E-6</v>
          </cell>
          <cell r="H341">
            <v>6.6135022838334001E-2</v>
          </cell>
          <cell r="I341">
            <v>1.14413704105266E-6</v>
          </cell>
          <cell r="J341"/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1.3468508495777394</v>
          </cell>
          <cell r="F342">
            <v>1.5002670605601673</v>
          </cell>
          <cell r="G342">
            <v>1.5001329790436075</v>
          </cell>
          <cell r="H342">
            <v>0.29176887659810558</v>
          </cell>
          <cell r="I342">
            <v>0.13192533901142994</v>
          </cell>
          <cell r="J342"/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3.6347564297942201</v>
          </cell>
          <cell r="H343"/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8.8490692579320012</v>
          </cell>
          <cell r="H344">
            <v>4.845264858796952</v>
          </cell>
          <cell r="I344">
            <v>2.1770226232900427</v>
          </cell>
          <cell r="J344"/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4.8571788055412719E-3</v>
          </cell>
          <cell r="F345">
            <v>2.4433212438091071E-3</v>
          </cell>
          <cell r="G345">
            <v>2.4789372625520097E-3</v>
          </cell>
          <cell r="H345">
            <v>4.5041380284295083E-3</v>
          </cell>
          <cell r="I345">
            <v>0.63253564173696486</v>
          </cell>
          <cell r="J345"/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4.8571788055412719E-3</v>
          </cell>
          <cell r="F346">
            <v>2.4433212438091071E-3</v>
          </cell>
          <cell r="G346">
            <v>2.4789372625520097E-3</v>
          </cell>
          <cell r="H346">
            <v>4.5041380284295083E-3</v>
          </cell>
          <cell r="I346">
            <v>0.63253564173696486</v>
          </cell>
          <cell r="J346"/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3.8801830947964001E-4</v>
          </cell>
          <cell r="F347">
            <v>4.2397596359163201E-7</v>
          </cell>
          <cell r="G347">
            <v>9.7740485961792801E-7</v>
          </cell>
          <cell r="H347">
            <v>1.11817639662519E-6</v>
          </cell>
          <cell r="I347">
            <v>4.8673029651989899E-2</v>
          </cell>
          <cell r="J347"/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3.8801830947964001E-4</v>
          </cell>
          <cell r="F348">
            <v>3.8786682290449569E-4</v>
          </cell>
          <cell r="G348">
            <v>3.8816675165383407E-4</v>
          </cell>
          <cell r="H348">
            <v>3.9002753090957453E-4</v>
          </cell>
          <cell r="I348">
            <v>4.8899692792076115E-2</v>
          </cell>
          <cell r="J348"/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3.6347564297944999</v>
          </cell>
          <cell r="H349"/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8.8490692579299548</v>
          </cell>
          <cell r="H350">
            <v>4.8452648587950193</v>
          </cell>
          <cell r="I350">
            <v>2.1770226232879963</v>
          </cell>
          <cell r="J350"/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4.1473161594251673E-6</v>
          </cell>
          <cell r="E351">
            <v>5.605078421334857E-6</v>
          </cell>
          <cell r="F351">
            <v>1.2616182541125067</v>
          </cell>
          <cell r="G351">
            <v>2.0371555194067574</v>
          </cell>
          <cell r="H351">
            <v>1.7675701647181239</v>
          </cell>
          <cell r="I351">
            <v>2.0008359221417384</v>
          </cell>
          <cell r="J351"/>
          <cell r="K351"/>
        </row>
        <row r="352">
          <cell r="A352" t="str">
            <v>RHES-SHSTG-ELCHP</v>
          </cell>
          <cell r="B352" t="str">
            <v>VAR_fin</v>
          </cell>
          <cell r="C352" t="str">
            <v>RHES-SHAELCH</v>
          </cell>
          <cell r="D352">
            <v>6.3108135106652638E-5</v>
          </cell>
          <cell r="E352">
            <v>5.2456488565973757E-5</v>
          </cell>
          <cell r="F352">
            <v>1.2616481811856319</v>
          </cell>
          <cell r="G352">
            <v>2.0372130569138092</v>
          </cell>
          <cell r="H352">
            <v>1.7676387698813512</v>
          </cell>
          <cell r="I352">
            <v>2.0009072242478689</v>
          </cell>
          <cell r="J352"/>
          <cell r="K352"/>
        </row>
        <row r="353">
          <cell r="A353" t="str">
            <v>RHES-SHSTG-ELCHP</v>
          </cell>
          <cell r="B353" t="str">
            <v>VAR_ncap</v>
          </cell>
          <cell r="C353" t="str">
            <v>-</v>
          </cell>
          <cell r="D353">
            <v>1.8252368632056599E-2</v>
          </cell>
          <cell r="E353">
            <v>0.12833845040778799</v>
          </cell>
          <cell r="F353">
            <v>0.13642671137006801</v>
          </cell>
          <cell r="G353">
            <v>5.4558280057012798E-2</v>
          </cell>
          <cell r="H353">
            <v>0.22414104042813099</v>
          </cell>
          <cell r="I353">
            <v>0.16491247387335201</v>
          </cell>
          <cell r="J353"/>
          <cell r="K353"/>
        </row>
        <row r="354">
          <cell r="A354" t="str">
            <v>RHES-SHSTG-ELCHP</v>
          </cell>
          <cell r="B354" t="str">
            <v>VAR_cap</v>
          </cell>
          <cell r="C354" t="str">
            <v>-</v>
          </cell>
          <cell r="D354">
            <v>1.8252368632056599E-2</v>
          </cell>
          <cell r="E354">
            <v>0.14649996976757312</v>
          </cell>
          <cell r="F354">
            <v>0.28288456215124436</v>
          </cell>
          <cell r="G354">
            <v>0.33739776954741713</v>
          </cell>
          <cell r="H354">
            <v>0.38487888650930224</v>
          </cell>
          <cell r="I354">
            <v>0.36954715693777751</v>
          </cell>
          <cell r="J354"/>
          <cell r="K354"/>
        </row>
        <row r="355">
          <cell r="A355" t="str">
            <v>SCOM-SHCONBR6</v>
          </cell>
          <cell r="B355" t="str">
            <v>VAR_fout</v>
          </cell>
          <cell r="C355" t="str">
            <v>SCOM-SHCON</v>
          </cell>
          <cell r="D355"/>
          <cell r="E355">
            <v>2.8221772681082564E-3</v>
          </cell>
          <cell r="F355">
            <v>1.4726263220833943E-3</v>
          </cell>
          <cell r="G355">
            <v>1.4732074650787876E-3</v>
          </cell>
          <cell r="H355">
            <v>2.540335896950777E-3</v>
          </cell>
          <cell r="I355">
            <v>1.733553973492528E-3</v>
          </cell>
          <cell r="J355"/>
          <cell r="K355"/>
        </row>
        <row r="356">
          <cell r="A356" t="str">
            <v>SCOM-SHCONBR6</v>
          </cell>
          <cell r="B356" t="str">
            <v>VAR_fin</v>
          </cell>
          <cell r="C356" t="str">
            <v>CON</v>
          </cell>
          <cell r="D356"/>
          <cell r="E356">
            <v>2.8221772681082564E-3</v>
          </cell>
          <cell r="F356">
            <v>1.4726263220833943E-3</v>
          </cell>
          <cell r="G356">
            <v>1.4732074650787876E-3</v>
          </cell>
          <cell r="H356">
            <v>2.540335896950777E-3</v>
          </cell>
          <cell r="I356">
            <v>1.733553973492528E-3</v>
          </cell>
          <cell r="J356"/>
          <cell r="K356"/>
        </row>
        <row r="357">
          <cell r="A357" t="str">
            <v>SCOM-SHCONBR6</v>
          </cell>
          <cell r="B357" t="str">
            <v>VAR_ncap</v>
          </cell>
          <cell r="C357" t="str">
            <v>-</v>
          </cell>
          <cell r="D357"/>
          <cell r="E357">
            <v>2.2808962552380501E-4</v>
          </cell>
          <cell r="F357">
            <v>4.3490731225130299E-7</v>
          </cell>
          <cell r="G357">
            <v>1.0194362208784901E-6</v>
          </cell>
          <cell r="H357">
            <v>6.6654295876110799E-7</v>
          </cell>
          <cell r="I357">
            <v>1.40294464463489E-5</v>
          </cell>
          <cell r="J357"/>
          <cell r="K357"/>
        </row>
        <row r="358">
          <cell r="A358" t="str">
            <v>SCOM-SHCONBR6</v>
          </cell>
          <cell r="B358" t="str">
            <v>VAR_cap</v>
          </cell>
          <cell r="C358" t="str">
            <v>-</v>
          </cell>
          <cell r="E358">
            <v>2.2808962552380501E-4</v>
          </cell>
          <cell r="F358">
            <v>2.2811116361597743E-4</v>
          </cell>
          <cell r="G358">
            <v>2.2863917743027885E-4</v>
          </cell>
          <cell r="H358">
            <v>2.2973909431815725E-4</v>
          </cell>
          <cell r="I358">
            <v>1.4784805612680081E-4</v>
          </cell>
          <cell r="J358"/>
          <cell r="K358"/>
        </row>
        <row r="359">
          <cell r="A359" t="str">
            <v>RHNM-SHDEM</v>
          </cell>
          <cell r="B359" t="str">
            <v>VAR_fout</v>
          </cell>
          <cell r="C359" t="str">
            <v>RHNM-SHD</v>
          </cell>
          <cell r="D359"/>
          <cell r="E359">
            <v>1.2071502183152301</v>
          </cell>
          <cell r="F359">
            <v>1.4941133238871001</v>
          </cell>
          <cell r="G359">
            <v>2.7265285197637912</v>
          </cell>
          <cell r="H359">
            <v>4.2100859981620324</v>
          </cell>
          <cell r="I359">
            <v>4.9917669863485106</v>
          </cell>
          <cell r="J359"/>
          <cell r="K359"/>
        </row>
        <row r="360">
          <cell r="A360" t="str">
            <v>RHNM-SHDEM</v>
          </cell>
          <cell r="B360" t="str">
            <v>VAR_fin</v>
          </cell>
          <cell r="C360" t="str">
            <v>RHNM-SHLFO</v>
          </cell>
          <cell r="D360"/>
          <cell r="E360">
            <v>3.2861627620689275E-2</v>
          </cell>
          <cell r="F360">
            <v>6.0945325506405822E-2</v>
          </cell>
          <cell r="G360">
            <v>9.2976524445064518E-2</v>
          </cell>
          <cell r="H360">
            <v>6.3807309454515834E-2</v>
          </cell>
          <cell r="I360">
            <v>2.0624792851115829E-4</v>
          </cell>
          <cell r="J360"/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RHNM-SHLTHD</v>
          </cell>
          <cell r="D361"/>
          <cell r="E361">
            <v>0.23763919000169029</v>
          </cell>
          <cell r="F361">
            <v>5.0825553792273756E-2</v>
          </cell>
          <cell r="G361">
            <v>0.22832599412961693</v>
          </cell>
          <cell r="H361">
            <v>0.31368279073188743</v>
          </cell>
          <cell r="I361">
            <v>0.3893528619284275</v>
          </cell>
          <cell r="J361"/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RHNM-SHCON</v>
          </cell>
          <cell r="D362"/>
          <cell r="F362">
            <v>4.1168728078975498E-3</v>
          </cell>
          <cell r="G362">
            <v>4.0081366456386812E-3</v>
          </cell>
          <cell r="H362">
            <v>8.1524947403250198E-3</v>
          </cell>
          <cell r="I362">
            <v>8.0847930954965515E-3</v>
          </cell>
          <cell r="J362"/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RHNM-SHELCB</v>
          </cell>
          <cell r="D363"/>
          <cell r="E363">
            <v>0.11670647259101906</v>
          </cell>
          <cell r="F363">
            <v>1.3011287348845934E-3</v>
          </cell>
          <cell r="G363">
            <v>1.9540933181005577E-3</v>
          </cell>
          <cell r="H363">
            <v>2.4513148762683365E-3</v>
          </cell>
          <cell r="I363">
            <v>2.2450514071332139E-3</v>
          </cell>
          <cell r="J363"/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RHNM-SHWOD</v>
          </cell>
          <cell r="D364"/>
          <cell r="E364">
            <v>6.9695384250972783E-2</v>
          </cell>
          <cell r="F364">
            <v>5.3749522737599573E-2</v>
          </cell>
          <cell r="G364">
            <v>9.2220209132667652E-2</v>
          </cell>
          <cell r="H364">
            <v>0.11922856489079232</v>
          </cell>
          <cell r="I364">
            <v>0.12440707562191142</v>
          </cell>
          <cell r="J364"/>
        </row>
        <row r="365">
          <cell r="A365" t="str">
            <v>RHNM-SHDEM</v>
          </cell>
          <cell r="B365" t="str">
            <v>VAR_fin</v>
          </cell>
          <cell r="C365" t="str">
            <v>RHNM-SHELCH</v>
          </cell>
          <cell r="D365"/>
          <cell r="E365">
            <v>3.332642964929703E-2</v>
          </cell>
          <cell r="F365">
            <v>0.9382262151504237</v>
          </cell>
          <cell r="G365">
            <v>1.4093718361240024</v>
          </cell>
          <cell r="H365">
            <v>2.2985481653154087</v>
          </cell>
          <cell r="I365">
            <v>2.9070854885174553</v>
          </cell>
          <cell r="J365"/>
        </row>
        <row r="366">
          <cell r="A366" t="str">
            <v>RHNM-SHDEM</v>
          </cell>
          <cell r="B366" t="str">
            <v>VAR_fin</v>
          </cell>
          <cell r="C366" t="str">
            <v>RHNM-SHNST</v>
          </cell>
          <cell r="D366"/>
          <cell r="E366">
            <v>5.1284419568211276E-3</v>
          </cell>
          <cell r="F366">
            <v>5.8771913636174113E-4</v>
          </cell>
          <cell r="G366">
            <v>4.6969098835811533E-4</v>
          </cell>
          <cell r="H366">
            <v>4.6525813905669099E-4</v>
          </cell>
          <cell r="I366">
            <v>2.2913204648365795E-5</v>
          </cell>
          <cell r="J366"/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RHNM-SHPLT</v>
          </cell>
          <cell r="D367"/>
          <cell r="E367">
            <v>6.4935927739474264E-2</v>
          </cell>
          <cell r="F367">
            <v>7.736711488411571E-3</v>
          </cell>
          <cell r="G367">
            <v>1.6012946783745534E-2</v>
          </cell>
          <cell r="H367">
            <v>2.0889505113585449E-2</v>
          </cell>
          <cell r="I367">
            <v>2.5766778785529729E-2</v>
          </cell>
          <cell r="J367"/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RHNM-SHLTHC-NGA</v>
          </cell>
          <cell r="D368"/>
          <cell r="E368">
            <v>3.3342799481387721E-2</v>
          </cell>
          <cell r="G368">
            <v>6.8885994655109594E-5</v>
          </cell>
          <cell r="H368">
            <v>8.3920199738746237E-5</v>
          </cell>
          <cell r="I368">
            <v>1.0755384094237618E-4</v>
          </cell>
          <cell r="J368"/>
        </row>
        <row r="369">
          <cell r="A369" t="str">
            <v>RHNM-SHDEM</v>
          </cell>
          <cell r="B369" t="str">
            <v>VAR_fin</v>
          </cell>
          <cell r="C369" t="str">
            <v>RHNM-SHSOL</v>
          </cell>
          <cell r="E369">
            <v>3.9619465088463833E-2</v>
          </cell>
          <cell r="F369">
            <v>9.59171776847596E-4</v>
          </cell>
          <cell r="G369">
            <v>1.0003357027412287E-3</v>
          </cell>
          <cell r="H369">
            <v>1.2043802987300885E-3</v>
          </cell>
          <cell r="I369">
            <v>1.0073912989259437E-3</v>
          </cell>
          <cell r="J369"/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RHNM-SHLTHC-WOD</v>
          </cell>
          <cell r="E370">
            <v>1.1753351918641864E-2</v>
          </cell>
          <cell r="G370">
            <v>6.7610746002940748E-5</v>
          </cell>
          <cell r="H370">
            <v>1.6649093288259497E-4</v>
          </cell>
          <cell r="I370">
            <v>5.1808637843254054E-5</v>
          </cell>
          <cell r="J370"/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RHNM-SHNGAH</v>
          </cell>
          <cell r="E371">
            <v>4.6928809867366802E-3</v>
          </cell>
          <cell r="F371">
            <v>0.26873904504454471</v>
          </cell>
          <cell r="G371">
            <v>0.74480366477162074</v>
          </cell>
          <cell r="H371">
            <v>1.3035976179218434</v>
          </cell>
          <cell r="I371">
            <v>1.5336552970419088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</v>
          </cell>
          <cell r="E372">
            <v>0.55790404027646057</v>
          </cell>
          <cell r="F372">
            <v>0.10778754120826121</v>
          </cell>
          <cell r="G372">
            <v>0.13592022637054535</v>
          </cell>
          <cell r="H372">
            <v>7.841312126321226E-2</v>
          </cell>
          <cell r="I372">
            <v>1.9341519598441422E-4</v>
          </cell>
          <cell r="J372"/>
          <cell r="K372"/>
        </row>
        <row r="373">
          <cell r="A373" t="str">
            <v>SCOM-STG-ELCSPEC</v>
          </cell>
          <cell r="B373" t="str">
            <v>VAR_fout</v>
          </cell>
          <cell r="C373" t="str">
            <v>SCOM-ELS</v>
          </cell>
          <cell r="D373"/>
          <cell r="E373">
            <v>4.1801869391460821E-2</v>
          </cell>
          <cell r="F373">
            <v>4.3339632640832924E-2</v>
          </cell>
          <cell r="G373">
            <v>4.4940082254293648E-2</v>
          </cell>
          <cell r="H373">
            <v>8.8673302657892458E-2</v>
          </cell>
          <cell r="I373">
            <v>8.8270504050488863E-2</v>
          </cell>
          <cell r="J373"/>
        </row>
        <row r="374">
          <cell r="A374" t="str">
            <v>SCOM-STG-ELCSPEC</v>
          </cell>
          <cell r="B374" t="str">
            <v>VAR_fin</v>
          </cell>
          <cell r="C374" t="str">
            <v>SCOM-ELS</v>
          </cell>
          <cell r="E374">
            <v>4.1806050740042858E-2</v>
          </cell>
          <cell r="F374">
            <v>4.3343869007159364E-2</v>
          </cell>
          <cell r="G374">
            <v>4.4944318620620129E-2</v>
          </cell>
          <cell r="H374">
            <v>8.8677539024219085E-2</v>
          </cell>
          <cell r="I374">
            <v>8.8272631403275473E-2</v>
          </cell>
          <cell r="J374"/>
          <cell r="K374"/>
        </row>
        <row r="375">
          <cell r="A375" t="str">
            <v>SCOM-STG-ELCSPEC</v>
          </cell>
          <cell r="B375" t="str">
            <v>VAR_ncap</v>
          </cell>
          <cell r="C375" t="str">
            <v>-</v>
          </cell>
          <cell r="E375">
            <v>1.5858765574594401E-3</v>
          </cell>
          <cell r="F375">
            <v>5.3943263740508899E-5</v>
          </cell>
          <cell r="G375">
            <v>1.9665373252662399E-5</v>
          </cell>
          <cell r="H375">
            <v>2.11194945114582E-3</v>
          </cell>
          <cell r="I375">
            <v>9.1713819682705505E-4</v>
          </cell>
          <cell r="J375"/>
          <cell r="K375"/>
        </row>
        <row r="376">
          <cell r="A376" t="str">
            <v>SCOM-STG-ELCSPEC</v>
          </cell>
          <cell r="B376" t="str">
            <v>VAR_cap</v>
          </cell>
          <cell r="C376" t="str">
            <v>-</v>
          </cell>
          <cell r="E376">
            <v>1.5858765574594401E-3</v>
          </cell>
          <cell r="F376">
            <v>1.6389605396292274E-3</v>
          </cell>
          <cell r="G376">
            <v>1.6566872705130453E-3</v>
          </cell>
          <cell r="H376">
            <v>3.1371204985805473E-3</v>
          </cell>
          <cell r="I376">
            <v>3.1414855596284116E-3</v>
          </cell>
          <cell r="J376"/>
          <cell r="K376"/>
        </row>
        <row r="377">
          <cell r="A377" t="str">
            <v>RHNS-SHCONBR3</v>
          </cell>
          <cell r="B377" t="str">
            <v>VAR_ncap</v>
          </cell>
          <cell r="C377" t="str">
            <v>-</v>
          </cell>
          <cell r="D377"/>
          <cell r="F377">
            <v>375</v>
          </cell>
          <cell r="G377">
            <v>3.6347564297942201</v>
          </cell>
          <cell r="H377"/>
          <cell r="I377"/>
          <cell r="J377"/>
          <cell r="K377"/>
        </row>
        <row r="378">
          <cell r="A378" t="str">
            <v>RHNS-SHCONBR3</v>
          </cell>
          <cell r="B378" t="str">
            <v>VAR_cap</v>
          </cell>
          <cell r="C378" t="str">
            <v>-</v>
          </cell>
          <cell r="F378">
            <v>375</v>
          </cell>
          <cell r="G378">
            <v>8.8490692579320012</v>
          </cell>
          <cell r="H378">
            <v>4.845264858796952</v>
          </cell>
          <cell r="I378">
            <v>2.1770226232900427</v>
          </cell>
          <cell r="J378"/>
          <cell r="K378"/>
        </row>
        <row r="379">
          <cell r="A379" t="str">
            <v>SCOM-SHCONBR7</v>
          </cell>
          <cell r="B379" t="str">
            <v>VAR_fout</v>
          </cell>
          <cell r="C379" t="str">
            <v>SCOM-SHCON</v>
          </cell>
          <cell r="D379"/>
          <cell r="E379">
            <v>1.6020820374117071E-3</v>
          </cell>
          <cell r="F379">
            <v>8.8077026161434446E-4</v>
          </cell>
          <cell r="G379">
            <v>8.636089799310961E-4</v>
          </cell>
          <cell r="H379">
            <v>1.3858405875492997E-3</v>
          </cell>
          <cell r="I379">
            <v>8.7512855316123456E-4</v>
          </cell>
          <cell r="J379"/>
          <cell r="K379"/>
        </row>
        <row r="380">
          <cell r="A380" t="str">
            <v>SCOM-SHCONBR7</v>
          </cell>
          <cell r="B380" t="str">
            <v>VAR_fin</v>
          </cell>
          <cell r="C380" t="str">
            <v>CON</v>
          </cell>
          <cell r="E380">
            <v>1.6020820374117071E-3</v>
          </cell>
          <cell r="F380">
            <v>8.8077026161434446E-4</v>
          </cell>
          <cell r="G380">
            <v>8.636089799310961E-4</v>
          </cell>
          <cell r="H380">
            <v>1.3858405875492997E-3</v>
          </cell>
          <cell r="I380">
            <v>8.7512855316123456E-4</v>
          </cell>
          <cell r="J380"/>
          <cell r="K380"/>
        </row>
        <row r="381">
          <cell r="A381" t="str">
            <v>SCOM-SHCONBR7</v>
          </cell>
          <cell r="B381" t="str">
            <v>VAR_ncap</v>
          </cell>
          <cell r="C381" t="str">
            <v>-</v>
          </cell>
          <cell r="E381">
            <v>1.3038186194748899E-4</v>
          </cell>
          <cell r="F381">
            <v>4.0875830417153598E-7</v>
          </cell>
          <cell r="G381">
            <v>8.7400675493137504E-7</v>
          </cell>
          <cell r="H381"/>
          <cell r="I381">
            <v>7.86149684821158E-7</v>
          </cell>
          <cell r="J381"/>
          <cell r="K381"/>
        </row>
        <row r="382">
          <cell r="A382" t="str">
            <v>SCOM-SHCONBR7</v>
          </cell>
          <cell r="B382" t="str">
            <v>VAR_cap</v>
          </cell>
          <cell r="C382" t="str">
            <v>-</v>
          </cell>
          <cell r="D382"/>
          <cell r="E382">
            <v>1.3038186194748899E-4</v>
          </cell>
          <cell r="F382">
            <v>1.3050490310871643E-4</v>
          </cell>
          <cell r="G382">
            <v>1.3105188517354007E-4</v>
          </cell>
          <cell r="H382">
            <v>1.3120597565012673E-4</v>
          </cell>
          <cell r="I382">
            <v>7.7236895307604764E-5</v>
          </cell>
          <cell r="J382"/>
          <cell r="K382"/>
        </row>
        <row r="383">
          <cell r="A383" t="str">
            <v>RHNS-SHCONBR4</v>
          </cell>
          <cell r="B383" t="str">
            <v>VAR_ncap</v>
          </cell>
          <cell r="C383" t="str">
            <v>-</v>
          </cell>
          <cell r="F383">
            <v>375</v>
          </cell>
          <cell r="G383">
            <v>3.6347564297944999</v>
          </cell>
          <cell r="H383"/>
          <cell r="I383"/>
          <cell r="J383"/>
          <cell r="K383"/>
        </row>
        <row r="384">
          <cell r="A384" t="str">
            <v>RHNS-SHCONBR4</v>
          </cell>
          <cell r="B384" t="str">
            <v>VAR_cap</v>
          </cell>
          <cell r="C384" t="str">
            <v>-</v>
          </cell>
          <cell r="F384">
            <v>375</v>
          </cell>
          <cell r="G384">
            <v>8.8490692579299548</v>
          </cell>
          <cell r="H384">
            <v>4.8452648587950193</v>
          </cell>
          <cell r="I384">
            <v>2.1770226232879963</v>
          </cell>
          <cell r="J384"/>
          <cell r="K384"/>
        </row>
        <row r="385">
          <cell r="A385" t="str">
            <v>SCOM-SHCONBR8</v>
          </cell>
          <cell r="B385" t="str">
            <v>VAR_fout</v>
          </cell>
          <cell r="C385" t="str">
            <v>SCOM-SHCON</v>
          </cell>
          <cell r="D385"/>
          <cell r="E385">
            <v>5.2921427926276858E-4</v>
          </cell>
          <cell r="F385">
            <v>3.3907729504396156E-4</v>
          </cell>
          <cell r="G385">
            <v>3.0815037634584932E-4</v>
          </cell>
          <cell r="H385">
            <v>4.0289175020745595E-4</v>
          </cell>
          <cell r="I385">
            <v>2.694521982362764E-4</v>
          </cell>
          <cell r="J385"/>
          <cell r="K385"/>
        </row>
        <row r="386">
          <cell r="A386" t="str">
            <v>SCOM-SHCONBR8</v>
          </cell>
          <cell r="B386" t="str">
            <v>VAR_fin</v>
          </cell>
          <cell r="C386" t="str">
            <v>CON</v>
          </cell>
          <cell r="D386"/>
          <cell r="E386">
            <v>5.2921427926276858E-4</v>
          </cell>
          <cell r="F386">
            <v>3.3907729504396156E-4</v>
          </cell>
          <cell r="G386">
            <v>3.0815037634584932E-4</v>
          </cell>
          <cell r="H386">
            <v>4.0289175020745595E-4</v>
          </cell>
          <cell r="I386">
            <v>2.694521982362764E-4</v>
          </cell>
          <cell r="J386"/>
        </row>
        <row r="387">
          <cell r="A387" t="str">
            <v>SCOM-SHCONBR8</v>
          </cell>
          <cell r="B387" t="str">
            <v>VAR_ncap</v>
          </cell>
          <cell r="C387" t="str">
            <v>-</v>
          </cell>
          <cell r="E387">
            <v>4.0014457269859998E-5</v>
          </cell>
          <cell r="F387">
            <v>3.1691663857023501E-7</v>
          </cell>
          <cell r="G387">
            <v>3.9672856071707199E-7</v>
          </cell>
          <cell r="H387"/>
          <cell r="I387">
            <v>1.6283374208711901E-7</v>
          </cell>
          <cell r="J387"/>
        </row>
        <row r="388">
          <cell r="A388" t="str">
            <v>SCOM-SHCONBR8</v>
          </cell>
          <cell r="B388" t="str">
            <v>VAR_cap</v>
          </cell>
          <cell r="C388" t="str">
            <v>-</v>
          </cell>
          <cell r="E388">
            <v>4.0014457269859998E-5</v>
          </cell>
          <cell r="F388">
            <v>4.0193554602326825E-5</v>
          </cell>
          <cell r="G388">
            <v>4.0459595589613334E-5</v>
          </cell>
          <cell r="H388">
            <v>4.0410692877282344E-5</v>
          </cell>
          <cell r="I388">
            <v>2.3817592242834333E-5</v>
          </cell>
          <cell r="J388"/>
        </row>
        <row r="389">
          <cell r="A389" t="str">
            <v>ITOT-ELCSPEC</v>
          </cell>
          <cell r="B389" t="str">
            <v>VAR_fout</v>
          </cell>
          <cell r="C389" t="str">
            <v>ITOT-ELS</v>
          </cell>
          <cell r="D389">
            <v>48.063397652170998</v>
          </cell>
          <cell r="E389">
            <v>49.866387746321102</v>
          </cell>
          <cell r="F389">
            <v>51.283905501418928</v>
          </cell>
          <cell r="G389">
            <v>52.600027144076023</v>
          </cell>
          <cell r="H389">
            <v>50.793337825721004</v>
          </cell>
          <cell r="I389">
            <v>52.489415597891515</v>
          </cell>
          <cell r="J389"/>
          <cell r="K389"/>
        </row>
        <row r="390">
          <cell r="A390" t="str">
            <v>ITOT-ELCSPEC</v>
          </cell>
          <cell r="B390" t="str">
            <v>VAR_fin</v>
          </cell>
          <cell r="C390" t="str">
            <v>ITOT_ELC</v>
          </cell>
          <cell r="D390">
            <v>48.063397652170998</v>
          </cell>
          <cell r="E390">
            <v>49.866387746321102</v>
          </cell>
          <cell r="F390">
            <v>51.283905501418928</v>
          </cell>
          <cell r="G390">
            <v>52.600027144076023</v>
          </cell>
          <cell r="H390">
            <v>50.793337825721004</v>
          </cell>
          <cell r="I390">
            <v>52.489415597891515</v>
          </cell>
          <cell r="J390"/>
          <cell r="K390"/>
        </row>
        <row r="391">
          <cell r="A391" t="str">
            <v>ITOT-ELCSPEC</v>
          </cell>
          <cell r="B391" t="str">
            <v>VAR_ncap</v>
          </cell>
          <cell r="C391" t="str">
            <v>-</v>
          </cell>
          <cell r="D391">
            <v>8.3505238524223702E-2</v>
          </cell>
          <cell r="E391">
            <v>9.8049157027417302E-2</v>
          </cell>
          <cell r="F391">
            <v>7.7091875218234296E-2</v>
          </cell>
          <cell r="G391">
            <v>7.1579383444734607E-2</v>
          </cell>
          <cell r="H391">
            <v>9.2418469825874493E-6</v>
          </cell>
          <cell r="I391">
            <v>2.5345444675237201</v>
          </cell>
          <cell r="J391"/>
          <cell r="K391"/>
        </row>
        <row r="392">
          <cell r="A392" t="str">
            <v>ITOT-ELCSPEC</v>
          </cell>
          <cell r="B392" t="str">
            <v>VAR_cap</v>
          </cell>
          <cell r="C392" t="str">
            <v>-</v>
          </cell>
          <cell r="D392">
            <v>2.6138324705569338</v>
          </cell>
          <cell r="E392">
            <v>2.7118803095766566</v>
          </cell>
          <cell r="F392">
            <v>2.7889692158975006</v>
          </cell>
          <cell r="G392">
            <v>2.8605404020047311</v>
          </cell>
          <cell r="H392">
            <v>2.7623006394402707</v>
          </cell>
          <cell r="I392">
            <v>2.8545249014417471</v>
          </cell>
          <cell r="J392"/>
          <cell r="K392"/>
        </row>
        <row r="393">
          <cell r="A393" t="str">
            <v>RHNM-SHLTHDH</v>
          </cell>
          <cell r="B393" t="str">
            <v>VAR_fout</v>
          </cell>
          <cell r="C393" t="str">
            <v>RHNM-SHLTHD</v>
          </cell>
          <cell r="D393"/>
          <cell r="E393">
            <v>0.34662751667871344</v>
          </cell>
          <cell r="F393">
            <v>5.1541366465191071E-2</v>
          </cell>
          <cell r="G393">
            <v>0.22919885452123931</v>
          </cell>
          <cell r="H393">
            <v>0.31481796527271699</v>
          </cell>
          <cell r="I393">
            <v>0.39040647099247572</v>
          </cell>
          <cell r="J393"/>
          <cell r="K393"/>
        </row>
        <row r="394">
          <cell r="A394" t="str">
            <v>RHNM-SHLTHDH</v>
          </cell>
          <cell r="B394" t="str">
            <v>VAR_fin</v>
          </cell>
          <cell r="C394" t="str">
            <v>RHNMLTHDHC</v>
          </cell>
          <cell r="E394">
            <v>0.34662751667871344</v>
          </cell>
          <cell r="F394">
            <v>5.1541366465191071E-2</v>
          </cell>
          <cell r="G394">
            <v>0.22919885452123931</v>
          </cell>
          <cell r="H394">
            <v>0.31481796527271699</v>
          </cell>
          <cell r="I394">
            <v>0.39040647099247572</v>
          </cell>
          <cell r="J394"/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RHNM_LTH_DH</v>
          </cell>
          <cell r="E395">
            <v>0.35012880472597374</v>
          </cell>
          <cell r="F395">
            <v>5.7026326992900229E-2</v>
          </cell>
          <cell r="G395">
            <v>0.25239216420580352</v>
          </cell>
          <cell r="H395">
            <v>0.34601211688965439</v>
          </cell>
          <cell r="I395">
            <v>0.42909040898763701</v>
          </cell>
          <cell r="J395"/>
          <cell r="K395"/>
        </row>
        <row r="396">
          <cell r="A396" t="str">
            <v>RHNM-SHLTHDH</v>
          </cell>
          <cell r="B396" t="str">
            <v>VAR_ncap</v>
          </cell>
          <cell r="C396" t="str">
            <v>-</v>
          </cell>
          <cell r="D396"/>
          <cell r="E396">
            <v>3.9230818921602698E-2</v>
          </cell>
          <cell r="F396">
            <v>2.4161009808080801E-2</v>
          </cell>
          <cell r="G396">
            <v>1.24839883314863E-2</v>
          </cell>
          <cell r="H396">
            <v>1.1435535574026399E-2</v>
          </cell>
          <cell r="I396">
            <v>1.9764270259298999E-2</v>
          </cell>
          <cell r="J396"/>
          <cell r="K396"/>
        </row>
        <row r="397">
          <cell r="A397" t="str">
            <v>RHNM-SHLTHDH</v>
          </cell>
          <cell r="B397" t="str">
            <v>VAR_cap</v>
          </cell>
          <cell r="C397" t="str">
            <v>-</v>
          </cell>
          <cell r="E397">
            <v>3.9230818921602698E-2</v>
          </cell>
          <cell r="F397">
            <v>3.6422488378945607E-2</v>
          </cell>
          <cell r="G397">
            <v>2.5267448529898304E-2</v>
          </cell>
          <cell r="H397">
            <v>2.713399267136371E-2</v>
          </cell>
          <cell r="I397">
            <v>3.3259403120050282E-2</v>
          </cell>
          <cell r="J397"/>
        </row>
        <row r="398">
          <cell r="A398" t="str">
            <v>RHNS-SHCONBR5</v>
          </cell>
          <cell r="B398" t="str">
            <v>VAR_ncap</v>
          </cell>
          <cell r="C398" t="str">
            <v>-</v>
          </cell>
          <cell r="F398">
            <v>375</v>
          </cell>
          <cell r="G398">
            <v>3.6347564297942201</v>
          </cell>
          <cell r="H398"/>
          <cell r="I398"/>
        </row>
        <row r="399">
          <cell r="A399" t="str">
            <v>RHNS-SHCONBR5</v>
          </cell>
          <cell r="B399" t="str">
            <v>VAR_cap</v>
          </cell>
          <cell r="C399" t="str">
            <v>-</v>
          </cell>
          <cell r="D399"/>
          <cell r="F399">
            <v>375</v>
          </cell>
          <cell r="G399">
            <v>8.8490692579320012</v>
          </cell>
          <cell r="H399">
            <v>4.845264858796952</v>
          </cell>
          <cell r="I399">
            <v>2.1770226232900427</v>
          </cell>
          <cell r="J399"/>
        </row>
        <row r="400">
          <cell r="A400" t="str">
            <v>SCOM-SHCONBR9</v>
          </cell>
          <cell r="B400" t="str">
            <v>VAR_fout</v>
          </cell>
          <cell r="C400" t="str">
            <v>SCOM-SHCON</v>
          </cell>
          <cell r="E400">
            <v>1.8163174447214308E-4</v>
          </cell>
          <cell r="F400">
            <v>1.4953422021914839E-4</v>
          </cell>
          <cell r="G400">
            <v>1.1655356134555676E-4</v>
          </cell>
          <cell r="H400">
            <v>1.1614349008320956E-4</v>
          </cell>
          <cell r="I400">
            <v>8.7965438935386073E-5</v>
          </cell>
          <cell r="J400"/>
        </row>
        <row r="401">
          <cell r="A401" t="str">
            <v>SCOM-SHCONBR9</v>
          </cell>
          <cell r="B401" t="str">
            <v>VAR_fin</v>
          </cell>
          <cell r="C401" t="str">
            <v>CON</v>
          </cell>
          <cell r="E401">
            <v>1.8163174447214308E-4</v>
          </cell>
          <cell r="F401">
            <v>1.4953422021914839E-4</v>
          </cell>
          <cell r="G401">
            <v>1.1655356134555676E-4</v>
          </cell>
          <cell r="H401">
            <v>1.1614349008320956E-4</v>
          </cell>
          <cell r="I401">
            <v>8.7965438935386073E-5</v>
          </cell>
          <cell r="J401"/>
          <cell r="K401"/>
        </row>
        <row r="402">
          <cell r="A402" t="str">
            <v>SCOM-SHCONBR9</v>
          </cell>
          <cell r="B402" t="str">
            <v>VAR_ncap</v>
          </cell>
          <cell r="C402" t="str">
            <v>-</v>
          </cell>
          <cell r="E402">
            <v>7.8502589814649705E-6</v>
          </cell>
          <cell r="F402">
            <v>2.5585202640808602E-7</v>
          </cell>
          <cell r="G402">
            <v>3.1276153553834901E-7</v>
          </cell>
          <cell r="H402"/>
          <cell r="I402">
            <v>6.14845152268688E-8</v>
          </cell>
          <cell r="J402"/>
          <cell r="K402"/>
        </row>
        <row r="403">
          <cell r="A403" t="str">
            <v>SCOM-SHCONBR9</v>
          </cell>
          <cell r="B403" t="str">
            <v>VAR_cap</v>
          </cell>
          <cell r="C403" t="str">
            <v>-</v>
          </cell>
          <cell r="E403">
            <v>7.8502589814649705E-6</v>
          </cell>
          <cell r="F403">
            <v>8.0350720983155822E-6</v>
          </cell>
          <cell r="G403">
            <v>8.3046782333153677E-6</v>
          </cell>
          <cell r="H403">
            <v>8.2588782333398075E-6</v>
          </cell>
          <cell r="I403">
            <v>5.0414384634518074E-6</v>
          </cell>
          <cell r="J403"/>
          <cell r="K403"/>
        </row>
        <row r="404">
          <cell r="A404" t="str">
            <v>ITOT-SWHCOABR</v>
          </cell>
          <cell r="B404" t="str">
            <v>VAR_fout</v>
          </cell>
          <cell r="C404" t="str">
            <v>ITOT-SWH</v>
          </cell>
          <cell r="D404">
            <v>2.367456322124935</v>
          </cell>
          <cell r="E404">
            <v>2.3075150343395676</v>
          </cell>
          <cell r="F404">
            <v>2.148410411786752</v>
          </cell>
          <cell r="G404">
            <v>4.3438556552869643E-4</v>
          </cell>
          <cell r="H404">
            <v>6.8331425370401079E-4</v>
          </cell>
          <cell r="I404">
            <v>1.6378485727025812E-5</v>
          </cell>
          <cell r="J404"/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CO2_I</v>
          </cell>
          <cell r="D405">
            <v>330.019851219521</v>
          </cell>
          <cell r="E405">
            <v>321.18114667158801</v>
          </cell>
          <cell r="F405">
            <v>298.36351336723902</v>
          </cell>
          <cell r="G405">
            <v>6.0100808842552401E-2</v>
          </cell>
          <cell r="H405">
            <v>9.3841824175350794E-2</v>
          </cell>
          <cell r="I405">
            <v>2.2327729807283701E-3</v>
          </cell>
          <cell r="J405"/>
          <cell r="K405"/>
        </row>
        <row r="406">
          <cell r="A406" t="str">
            <v>ITOT-SWHCOABR</v>
          </cell>
          <cell r="B406" t="str">
            <v>VAR_fin</v>
          </cell>
          <cell r="C406" t="str">
            <v>ICOA</v>
          </cell>
          <cell r="D406">
            <v>3.560084694924718</v>
          </cell>
          <cell r="E406">
            <v>3.4647372887981449</v>
          </cell>
          <cell r="F406">
            <v>3.2185923772086182</v>
          </cell>
          <cell r="G406">
            <v>6.4833666496820312E-4</v>
          </cell>
          <cell r="H406">
            <v>1.0123174128948299E-3</v>
          </cell>
          <cell r="I406">
            <v>2.4086008422096807E-5</v>
          </cell>
          <cell r="J406"/>
          <cell r="K406"/>
        </row>
        <row r="407">
          <cell r="A407" t="str">
            <v>ITOT-SWHCOABR</v>
          </cell>
          <cell r="B407" t="str">
            <v>VAR_ncap</v>
          </cell>
          <cell r="C407" t="str">
            <v>-</v>
          </cell>
          <cell r="E407">
            <v>1.7065077657428899E-5</v>
          </cell>
          <cell r="F407">
            <v>1.7774981700997999E-5</v>
          </cell>
          <cell r="G407">
            <v>2.5459226618105901E-5</v>
          </cell>
          <cell r="H407">
            <v>1.32835476320786E-5</v>
          </cell>
          <cell r="I407">
            <v>2.8265756640596502E-6</v>
          </cell>
          <cell r="K407"/>
        </row>
        <row r="408">
          <cell r="A408" t="str">
            <v>ITOT-SWHCOABR</v>
          </cell>
          <cell r="B408" t="str">
            <v>VAR_cap</v>
          </cell>
          <cell r="C408" t="str">
            <v>-</v>
          </cell>
          <cell r="D408">
            <v>0.26172155007150499</v>
          </cell>
          <cell r="E408">
            <v>0.17655029354304103</v>
          </cell>
          <cell r="F408">
            <v>0.16513603903633914</v>
          </cell>
          <cell r="G408">
            <v>4.1554661699472195E-5</v>
          </cell>
          <cell r="H408">
            <v>6.3978246097309011E-5</v>
          </cell>
          <cell r="I408">
            <v>1.8066555926699978E-6</v>
          </cell>
          <cell r="J408"/>
          <cell r="K408"/>
        </row>
        <row r="409">
          <cell r="A409" t="str">
            <v>RHSA-WHDEM</v>
          </cell>
          <cell r="B409" t="str">
            <v>VAR_fout</v>
          </cell>
          <cell r="C409" t="str">
            <v>RHSA-WHD</v>
          </cell>
          <cell r="D409">
            <v>26.438654975424289</v>
          </cell>
          <cell r="E409">
            <v>25.92879146371218</v>
          </cell>
          <cell r="F409">
            <v>21.668996614757795</v>
          </cell>
          <cell r="G409">
            <v>22.092255956160496</v>
          </cell>
          <cell r="H409">
            <v>26.684665203886087</v>
          </cell>
          <cell r="I409">
            <v>28.416154978079401</v>
          </cell>
          <cell r="J409"/>
          <cell r="K409"/>
        </row>
        <row r="410">
          <cell r="A410" t="str">
            <v>RHSA-WHDEM</v>
          </cell>
          <cell r="B410" t="str">
            <v>VAR_fin</v>
          </cell>
          <cell r="C410" t="str">
            <v>RHSA-WHNGA</v>
          </cell>
          <cell r="D410">
            <v>6.1994478404836553</v>
          </cell>
          <cell r="E410">
            <v>5.2782244189081897</v>
          </cell>
          <cell r="F410">
            <v>5.2234011887927698</v>
          </cell>
          <cell r="G410">
            <v>3.43676587983173</v>
          </cell>
          <cell r="H410">
            <v>1.4691338325173515</v>
          </cell>
          <cell r="I410">
            <v>0.69979914532271525</v>
          </cell>
          <cell r="J410"/>
        </row>
        <row r="411">
          <cell r="A411" t="str">
            <v>RHSA-WHDEM</v>
          </cell>
          <cell r="B411" t="str">
            <v>VAR_fin</v>
          </cell>
          <cell r="C411" t="str">
            <v>RHSA-WHLFO</v>
          </cell>
          <cell r="D411">
            <v>6.8070874868193245</v>
          </cell>
          <cell r="E411">
            <v>5.8059254481236193</v>
          </cell>
          <cell r="F411">
            <v>4.4247229799810883</v>
          </cell>
          <cell r="G411">
            <v>2.0795868322317532</v>
          </cell>
          <cell r="H411">
            <v>0.72884987459765616</v>
          </cell>
          <cell r="I411">
            <v>7.1865510921842332E-2</v>
          </cell>
          <cell r="J411"/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RHSA-WHWOD</v>
          </cell>
          <cell r="D412">
            <v>0.55717009542860152</v>
          </cell>
          <cell r="E412">
            <v>0.59682261254409597</v>
          </cell>
          <cell r="F412">
            <v>1.2211513245623302</v>
          </cell>
          <cell r="G412">
            <v>1.2038448534339461</v>
          </cell>
          <cell r="H412">
            <v>1.0676646415908164</v>
          </cell>
          <cell r="I412">
            <v>0.85439495244137142</v>
          </cell>
          <cell r="J412"/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RHSA-WHNGAH</v>
          </cell>
          <cell r="D413">
            <v>6.7079545907904978E-2</v>
          </cell>
          <cell r="E413">
            <v>7.3918724866361887E-5</v>
          </cell>
          <cell r="F413">
            <v>1.1047380807639202</v>
          </cell>
          <cell r="G413">
            <v>3.3513996263384387</v>
          </cell>
          <cell r="H413">
            <v>6.1504311305157096</v>
          </cell>
          <cell r="I413">
            <v>6.8391559620840443</v>
          </cell>
          <cell r="J413"/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RHSA-WHNST</v>
          </cell>
          <cell r="D414">
            <v>2.8600593463799603E-2</v>
          </cell>
          <cell r="E414">
            <v>5.3348428895083817E-4</v>
          </cell>
          <cell r="F414">
            <v>7.7141743069638595E-6</v>
          </cell>
          <cell r="G414">
            <v>8.5606453703091423E-6</v>
          </cell>
          <cell r="H414">
            <v>7.8930170138151009E-6</v>
          </cell>
          <cell r="I414">
            <v>7.6241361566774102E-6</v>
          </cell>
        </row>
        <row r="415">
          <cell r="A415" t="str">
            <v>RHSA-WHDEM</v>
          </cell>
          <cell r="B415" t="str">
            <v>VAR_fin</v>
          </cell>
          <cell r="C415" t="str">
            <v>RHSA-WHPLT</v>
          </cell>
          <cell r="D415">
            <v>0.27224639223511776</v>
          </cell>
          <cell r="E415">
            <v>0.19446900302610162</v>
          </cell>
          <cell r="F415">
            <v>7.6948780933406652E-2</v>
          </cell>
          <cell r="G415">
            <v>0.1033189014333436</v>
          </cell>
          <cell r="H415">
            <v>0.13328533987591487</v>
          </cell>
          <cell r="I415">
            <v>0.13505310575350055</v>
          </cell>
        </row>
        <row r="416">
          <cell r="A416" t="str">
            <v>RHSA-WHDEM</v>
          </cell>
          <cell r="B416" t="str">
            <v>VAR_fin</v>
          </cell>
          <cell r="C416" t="str">
            <v>RHSA-WHLTHRD</v>
          </cell>
          <cell r="D416">
            <v>1.275853828326091</v>
          </cell>
          <cell r="E416">
            <v>1.4629225039135156</v>
          </cell>
          <cell r="F416">
            <v>0.95367847427852181</v>
          </cell>
          <cell r="G416">
            <v>1.4560325998914034</v>
          </cell>
          <cell r="H416">
            <v>1.9738983411924749</v>
          </cell>
          <cell r="I416">
            <v>2.186543234681996</v>
          </cell>
          <cell r="J416"/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RHSA-WHELCB</v>
          </cell>
          <cell r="D417">
            <v>6.4547272077348508</v>
          </cell>
          <cell r="E417">
            <v>6.9682501108889765</v>
          </cell>
          <cell r="F417">
            <v>2.82189676936096</v>
          </cell>
          <cell r="G417">
            <v>2.0133036079033335</v>
          </cell>
          <cell r="H417">
            <v>1.7265742233373049</v>
          </cell>
          <cell r="I417">
            <v>1.5552038215822939</v>
          </cell>
          <cell r="J417"/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RHSA-WHSOL</v>
          </cell>
          <cell r="D418">
            <v>1.6646374837242459</v>
          </cell>
          <cell r="E418">
            <v>1.9869465505435737</v>
          </cell>
          <cell r="F418">
            <v>0.93111934798512608</v>
          </cell>
          <cell r="G418">
            <v>1.0612983683737995</v>
          </cell>
          <cell r="H418">
            <v>1.2195187802740266</v>
          </cell>
          <cell r="I418">
            <v>1.227728216309502</v>
          </cell>
        </row>
        <row r="419">
          <cell r="A419" t="str">
            <v>RHSA-WHDEM</v>
          </cell>
          <cell r="B419" t="str">
            <v>VAR_fin</v>
          </cell>
          <cell r="C419" t="str">
            <v>RHSA-WHELCH</v>
          </cell>
          <cell r="D419">
            <v>3.1121181269983413</v>
          </cell>
          <cell r="E419">
            <v>3.6350005572499682</v>
          </cell>
          <cell r="F419">
            <v>4.9117630362008295</v>
          </cell>
          <cell r="G419">
            <v>7.3871046945579328</v>
          </cell>
          <cell r="H419">
            <v>12.215605658220824</v>
          </cell>
          <cell r="I419">
            <v>14.846694712106192</v>
          </cell>
        </row>
        <row r="420">
          <cell r="A420" t="str">
            <v>RHSA-WHNGAHP</v>
          </cell>
          <cell r="B420" t="str">
            <v>VAR_fout</v>
          </cell>
          <cell r="C420" t="str">
            <v>RHSA-WHANGAH</v>
          </cell>
          <cell r="F420">
            <v>1.1047388340958053</v>
          </cell>
          <cell r="G420">
            <v>3.351395462640645</v>
          </cell>
          <cell r="H420">
            <v>6.1504139852109621</v>
          </cell>
          <cell r="I420">
            <v>6.8391522809193406</v>
          </cell>
          <cell r="J420"/>
          <cell r="K420"/>
        </row>
        <row r="421">
          <cell r="A421" t="str">
            <v>RHSA-WHNGAHP</v>
          </cell>
          <cell r="B421" t="str">
            <v>VAR_fout</v>
          </cell>
          <cell r="C421" t="str">
            <v>CO2_R</v>
          </cell>
          <cell r="F421">
            <v>30.808792011821001</v>
          </cell>
          <cell r="G421">
            <v>81.931573356539204</v>
          </cell>
          <cell r="H421">
            <v>134.631433373829</v>
          </cell>
          <cell r="I421">
            <v>124.362936314892</v>
          </cell>
          <cell r="J421"/>
          <cell r="K421"/>
        </row>
        <row r="422">
          <cell r="A422" t="str">
            <v>RHSA-WHNGAHP</v>
          </cell>
          <cell r="B422" t="str">
            <v>VAR_fin</v>
          </cell>
          <cell r="C422" t="str">
            <v>RNGA</v>
          </cell>
          <cell r="F422">
            <v>0.54625517751455643</v>
          </cell>
          <cell r="G422">
            <v>1.4526874708606232</v>
          </cell>
          <cell r="H422">
            <v>2.3870821520182486</v>
          </cell>
          <cell r="I422">
            <v>2.2050166013278782</v>
          </cell>
        </row>
        <row r="423">
          <cell r="A423" t="str">
            <v>RHSA-WHNGAHP</v>
          </cell>
          <cell r="B423" t="str">
            <v>VAR_ncap</v>
          </cell>
          <cell r="C423" t="str">
            <v>-</v>
          </cell>
          <cell r="E423">
            <v>9.7830361033403399E-7</v>
          </cell>
          <cell r="F423">
            <v>7.3230815890770296E-2</v>
          </cell>
          <cell r="G423">
            <v>0.14870740187758899</v>
          </cell>
          <cell r="H423">
            <v>0.21107473187744799</v>
          </cell>
          <cell r="I423">
            <v>0.27264235784702101</v>
          </cell>
        </row>
        <row r="424">
          <cell r="A424" t="str">
            <v>RHSA-WHNGAHP</v>
          </cell>
          <cell r="B424" t="str">
            <v>VAR_cap</v>
          </cell>
          <cell r="C424" t="str">
            <v>-</v>
          </cell>
          <cell r="D424">
            <v>4.7729432218241499E-11</v>
          </cell>
          <cell r="E424">
            <v>-6.4219357190337805E-8</v>
          </cell>
          <cell r="F424">
            <v>7.3230869999825587E-2</v>
          </cell>
          <cell r="G424">
            <v>0.2219383653085347</v>
          </cell>
          <cell r="H424">
            <v>0.42437924140010458</v>
          </cell>
          <cell r="I424">
            <v>0.46760499384342574</v>
          </cell>
          <cell r="J424"/>
          <cell r="K424"/>
        </row>
        <row r="425">
          <cell r="A425" t="str">
            <v>SCOM-SHSTG-ELCHP</v>
          </cell>
          <cell r="B425" t="str">
            <v>VAR_fout</v>
          </cell>
          <cell r="C425" t="str">
            <v>SCOM-SHAELCH</v>
          </cell>
          <cell r="D425">
            <v>9.1707022066738134E-5</v>
          </cell>
          <cell r="E425">
            <v>8.9189074394158873E-5</v>
          </cell>
          <cell r="F425">
            <v>1.0154305847871163E-4</v>
          </cell>
          <cell r="G425">
            <v>8.1024241214027609E-5</v>
          </cell>
          <cell r="H425">
            <v>8.4822661110954781E-5</v>
          </cell>
          <cell r="I425">
            <v>2.6849763806909614E-5</v>
          </cell>
          <cell r="J425"/>
          <cell r="K425"/>
        </row>
        <row r="426">
          <cell r="A426" t="str">
            <v>SCOM-SHSTG-ELCHP</v>
          </cell>
          <cell r="B426" t="str">
            <v>VAR_fin</v>
          </cell>
          <cell r="C426" t="str">
            <v>SCOM-SHAELCH</v>
          </cell>
          <cell r="D426">
            <v>1.14203149747109E-4</v>
          </cell>
          <cell r="E426">
            <v>1.0170871814013709E-4</v>
          </cell>
          <cell r="F426">
            <v>1.1226946687209374E-4</v>
          </cell>
          <cell r="G426">
            <v>9.2565402228305193E-5</v>
          </cell>
          <cell r="H426">
            <v>9.2947647274197094E-5</v>
          </cell>
          <cell r="I426">
            <v>2.4993531638418164E-5</v>
          </cell>
        </row>
        <row r="427">
          <cell r="A427" t="str">
            <v>SCOM-SHSTG-ELCHP</v>
          </cell>
          <cell r="B427" t="str">
            <v>VAR_ncap</v>
          </cell>
          <cell r="C427" t="str">
            <v>-</v>
          </cell>
          <cell r="D427">
            <v>4.4163840345425802E-2</v>
          </cell>
          <cell r="E427">
            <v>5.7425601147350597E-2</v>
          </cell>
          <cell r="F427">
            <v>1.89851597587157E-4</v>
          </cell>
          <cell r="G427">
            <v>4.4810452726846001E-2</v>
          </cell>
          <cell r="H427">
            <v>0.12863203657203601</v>
          </cell>
          <cell r="I427">
            <v>0.18174898459899899</v>
          </cell>
        </row>
        <row r="428">
          <cell r="A428" t="str">
            <v>SCOM-SHSTG-ELCHP</v>
          </cell>
          <cell r="B428" t="str">
            <v>VAR_cap</v>
          </cell>
          <cell r="C428" t="str">
            <v>-</v>
          </cell>
          <cell r="D428">
            <v>4.4163840345425802E-2</v>
          </cell>
          <cell r="E428">
            <v>0.10132095166186836</v>
          </cell>
          <cell r="F428">
            <v>0.10131783839468542</v>
          </cell>
          <cell r="G428">
            <v>0.14606780733713359</v>
          </cell>
          <cell r="H428">
            <v>0.27886167975041209</v>
          </cell>
          <cell r="I428">
            <v>0.32559750034838164</v>
          </cell>
          <cell r="J428"/>
          <cell r="K428"/>
        </row>
        <row r="429">
          <cell r="A429" t="str">
            <v>RHEM-SHLFOBR</v>
          </cell>
          <cell r="B429" t="str">
            <v>VAR_fout</v>
          </cell>
          <cell r="C429" t="str">
            <v>CO2_R</v>
          </cell>
          <cell r="D429">
            <v>1928.7141236358</v>
          </cell>
          <cell r="E429">
            <v>1542.4498722947301</v>
          </cell>
          <cell r="F429">
            <v>1691.2179841439599</v>
          </cell>
          <cell r="G429">
            <v>864.76190964561101</v>
          </cell>
          <cell r="H429">
            <v>207.64246799206799</v>
          </cell>
          <cell r="I429">
            <v>20.170778241626799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RHEM-SHLFO</v>
          </cell>
          <cell r="D430">
            <v>23.443777509141597</v>
          </cell>
          <cell r="E430">
            <v>18.74868399725046</v>
          </cell>
          <cell r="F430">
            <v>19.657615491822273</v>
          </cell>
          <cell r="G430">
            <v>10.222781295390678</v>
          </cell>
          <cell r="H430">
            <v>2.4546450465053091</v>
          </cell>
          <cell r="I430">
            <v>0.23935317316710897</v>
          </cell>
          <cell r="K430"/>
        </row>
        <row r="431">
          <cell r="A431" t="str">
            <v>RHEM-SHLFOBR</v>
          </cell>
          <cell r="B431" t="str">
            <v>VAR_fin</v>
          </cell>
          <cell r="C431" t="str">
            <v>RLFO</v>
          </cell>
          <cell r="D431">
            <v>26.16979814973941</v>
          </cell>
          <cell r="E431">
            <v>20.928763531814457</v>
          </cell>
          <cell r="F431">
            <v>22.947326786213839</v>
          </cell>
          <cell r="G431">
            <v>11.733540158013714</v>
          </cell>
          <cell r="H431">
            <v>2.8174011939222239</v>
          </cell>
          <cell r="I431">
            <v>0.27368762878733754</v>
          </cell>
          <cell r="K431"/>
        </row>
        <row r="432">
          <cell r="A432" t="str">
            <v>RHEM-SHLFOBR</v>
          </cell>
          <cell r="B432" t="str">
            <v>VAR_ncap</v>
          </cell>
          <cell r="C432" t="str">
            <v>-</v>
          </cell>
          <cell r="E432">
            <v>5.6597197274665704E-7</v>
          </cell>
          <cell r="F432">
            <v>6.8023900817891603E-7</v>
          </cell>
          <cell r="G432">
            <v>8.2240007446071902E-7</v>
          </cell>
          <cell r="H432">
            <v>0.105198276847646</v>
          </cell>
          <cell r="I432">
            <v>4.8289642688904601E-7</v>
          </cell>
          <cell r="K432"/>
        </row>
        <row r="433">
          <cell r="A433" t="str">
            <v>RHEM-SHLFOBR</v>
          </cell>
          <cell r="B433" t="str">
            <v>VAR_cap</v>
          </cell>
          <cell r="C433" t="str">
            <v>-</v>
          </cell>
          <cell r="D433">
            <v>1.65587464377338</v>
          </cell>
          <cell r="E433">
            <v>1.5936350871732672</v>
          </cell>
          <cell r="F433">
            <v>1.593462715631677</v>
          </cell>
          <cell r="G433">
            <v>1.5928802477096009</v>
          </cell>
          <cell r="H433">
            <v>0.17499289789784464</v>
          </cell>
          <cell r="I433">
            <v>2.3482982464582608E-2</v>
          </cell>
          <cell r="K433"/>
        </row>
        <row r="434">
          <cell r="A434" t="str">
            <v>RHES-SHNGAHP</v>
          </cell>
          <cell r="B434" t="str">
            <v>VAR_fout</v>
          </cell>
          <cell r="C434" t="str">
            <v>RHES-SHANGAH</v>
          </cell>
          <cell r="F434">
            <v>2.292232065783204</v>
          </cell>
          <cell r="G434">
            <v>5.6184248703129933</v>
          </cell>
          <cell r="H434">
            <v>7.9261938840771657</v>
          </cell>
          <cell r="I434">
            <v>7.3269745905437524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CO2_R</v>
          </cell>
          <cell r="F435">
            <v>71.162155568207993</v>
          </cell>
          <cell r="G435">
            <v>166.909837071449</v>
          </cell>
          <cell r="H435">
            <v>227.199014778882</v>
          </cell>
          <cell r="I435">
            <v>197.677690080638</v>
          </cell>
          <cell r="J435"/>
          <cell r="K435"/>
        </row>
        <row r="436">
          <cell r="A436" t="str">
            <v>RHES-SHNGAHP</v>
          </cell>
          <cell r="B436" t="str">
            <v>VAR_fin</v>
          </cell>
          <cell r="C436" t="str">
            <v>RHESELCHPC</v>
          </cell>
          <cell r="F436">
            <v>2.292232065783204</v>
          </cell>
          <cell r="G436">
            <v>5.6184248703129933</v>
          </cell>
          <cell r="H436">
            <v>7.9261938840771657</v>
          </cell>
          <cell r="I436">
            <v>7.3269745905437524</v>
          </cell>
          <cell r="J436"/>
          <cell r="K436"/>
        </row>
        <row r="437">
          <cell r="A437" t="str">
            <v>RHES-SHNGAHP</v>
          </cell>
          <cell r="B437" t="str">
            <v>VAR_fin</v>
          </cell>
          <cell r="C437" t="str">
            <v>RNGA</v>
          </cell>
          <cell r="F437">
            <v>1.2617403469540425</v>
          </cell>
          <cell r="G437">
            <v>2.9593942743164692</v>
          </cell>
          <cell r="H437">
            <v>4.0283513258666952</v>
          </cell>
          <cell r="I437">
            <v>3.5049235829900436</v>
          </cell>
          <cell r="J437"/>
          <cell r="K437"/>
        </row>
        <row r="438">
          <cell r="A438" t="str">
            <v>RHES-SHNGAHP</v>
          </cell>
          <cell r="B438" t="str">
            <v>VAR_ncap</v>
          </cell>
          <cell r="C438" t="str">
            <v>-</v>
          </cell>
          <cell r="E438">
            <v>7.9315984466773598E-7</v>
          </cell>
          <cell r="F438">
            <v>0.18523767016656301</v>
          </cell>
          <cell r="G438">
            <v>0.26868399241860402</v>
          </cell>
          <cell r="H438">
            <v>0.332942314997827</v>
          </cell>
          <cell r="I438">
            <v>0.31174997847556202</v>
          </cell>
          <cell r="J438"/>
          <cell r="K438"/>
        </row>
        <row r="439">
          <cell r="A439" t="str">
            <v>RHES-SHNGAHP</v>
          </cell>
          <cell r="B439" t="str">
            <v>VAR_cap</v>
          </cell>
          <cell r="C439" t="str">
            <v>-</v>
          </cell>
          <cell r="E439">
            <v>7.9315984466773598E-7</v>
          </cell>
          <cell r="F439">
            <v>0.18523812892177</v>
          </cell>
          <cell r="G439">
            <v>0.45392207612434471</v>
          </cell>
          <cell r="H439">
            <v>0.64139317872963564</v>
          </cell>
          <cell r="I439">
            <v>0.59234945716018716</v>
          </cell>
          <cell r="K439"/>
        </row>
        <row r="440">
          <cell r="A440" t="str">
            <v>D-RHES_LTH_CHPWOD</v>
          </cell>
          <cell r="B440" t="str">
            <v>VAR_fout</v>
          </cell>
          <cell r="C440" t="str">
            <v>RHES_LTH_CHPWOD_ON</v>
          </cell>
          <cell r="D440">
            <v>1.0294316239144856E-4</v>
          </cell>
          <cell r="E440">
            <v>9.6933346896236564E-5</v>
          </cell>
          <cell r="F440">
            <v>3.9081664557702129E-5</v>
          </cell>
          <cell r="H440">
            <v>4.9084843902150229E-3</v>
          </cell>
          <cell r="I440">
            <v>1.2452737477777088E-3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RHSA_LTH</v>
          </cell>
          <cell r="D441">
            <v>1.3950509966627184E-4</v>
          </cell>
          <cell r="E441">
            <v>1.3920933949550357E-4</v>
          </cell>
          <cell r="F441">
            <v>5.1729816950238041E-5</v>
          </cell>
          <cell r="G441">
            <v>2.5173075400467121E-3</v>
          </cell>
          <cell r="H441">
            <v>1.5782491899273929E-3</v>
          </cell>
          <cell r="I441">
            <v>9.524400941858446E-4</v>
          </cell>
        </row>
        <row r="442">
          <cell r="A442" t="str">
            <v>D-RHES_LTH_CHPWOD</v>
          </cell>
          <cell r="B442" t="str">
            <v>VAR_fout</v>
          </cell>
          <cell r="C442" t="str">
            <v>LTH</v>
          </cell>
          <cell r="E442">
            <v>4.5722174371896046E-6</v>
          </cell>
          <cell r="F442">
            <v>2.6273857610796443E-6</v>
          </cell>
          <cell r="G442">
            <v>5.1707262252154539E-7</v>
          </cell>
          <cell r="H442">
            <v>8.7231788792649611E-6</v>
          </cell>
          <cell r="I442">
            <v>4.1357399401346669E-6</v>
          </cell>
          <cell r="K442"/>
        </row>
        <row r="443">
          <cell r="A443" t="str">
            <v>D-RHES_LTH_CHPWOD</v>
          </cell>
          <cell r="B443" t="str">
            <v>VAR_fin</v>
          </cell>
          <cell r="C443" t="str">
            <v>RHES_LTH_CHPWOD</v>
          </cell>
          <cell r="D443">
            <v>2.4244826205772047E-4</v>
          </cell>
          <cell r="E443">
            <v>2.4071490382892978E-4</v>
          </cell>
          <cell r="F443">
            <v>9.3438867269019792E-5</v>
          </cell>
          <cell r="G443">
            <v>2.5192786218123158E-3</v>
          </cell>
          <cell r="H443">
            <v>6.4958908378258268E-3</v>
          </cell>
          <cell r="I443">
            <v>2.2022989404379858E-3</v>
          </cell>
          <cell r="J443"/>
          <cell r="K443"/>
        </row>
        <row r="444">
          <cell r="A444" t="str">
            <v>ITOT-SWHCONBR</v>
          </cell>
          <cell r="B444" t="str">
            <v>VAR_ncap</v>
          </cell>
          <cell r="C444" t="str">
            <v>-</v>
          </cell>
          <cell r="I444">
            <v>1.1721949207656501E-8</v>
          </cell>
        </row>
        <row r="445">
          <cell r="A445" t="str">
            <v>ITOT-SWHCONBR</v>
          </cell>
          <cell r="B445" t="str">
            <v>VAR_cap</v>
          </cell>
          <cell r="C445" t="str">
            <v>-</v>
          </cell>
          <cell r="I445">
            <v>1.1721949207656501E-8</v>
          </cell>
        </row>
        <row r="446">
          <cell r="A446" t="str">
            <v>ITOT-SWHSOLBR</v>
          </cell>
          <cell r="B446" t="str">
            <v>VAR_fout</v>
          </cell>
          <cell r="C446" t="str">
            <v>ITOT-SWHASOL</v>
          </cell>
          <cell r="D446">
            <v>6.7756660819850226E-2</v>
          </cell>
          <cell r="E446">
            <v>8.5517462591914242E-2</v>
          </cell>
          <cell r="F446">
            <v>8.5761572348039286E-2</v>
          </cell>
          <cell r="G446">
            <v>2.3297851568660062</v>
          </cell>
          <cell r="H446">
            <v>2.3214231209567906</v>
          </cell>
          <cell r="I446">
            <v>1.6632643607977544</v>
          </cell>
          <cell r="J446"/>
          <cell r="K446"/>
        </row>
        <row r="447">
          <cell r="A447" t="str">
            <v>ITOT-SWHSOLBR</v>
          </cell>
          <cell r="B447" t="str">
            <v>VAR_fin</v>
          </cell>
          <cell r="C447" t="str">
            <v>SOL</v>
          </cell>
          <cell r="D447">
            <v>6.7756660819850226E-2</v>
          </cell>
          <cell r="E447">
            <v>8.5517462591914242E-2</v>
          </cell>
          <cell r="F447">
            <v>8.5761572348039286E-2</v>
          </cell>
          <cell r="G447">
            <v>2.3297851568660062</v>
          </cell>
          <cell r="H447">
            <v>2.3214231209567906</v>
          </cell>
          <cell r="I447">
            <v>1.6632643607977544</v>
          </cell>
        </row>
        <row r="448">
          <cell r="A448" t="str">
            <v>ITOT-SWHSOLBR</v>
          </cell>
          <cell r="B448" t="str">
            <v>VAR_ncap</v>
          </cell>
          <cell r="C448" t="str">
            <v>-</v>
          </cell>
          <cell r="E448">
            <v>5.4648598854966597E-2</v>
          </cell>
          <cell r="F448">
            <v>4.7172742681575402E-7</v>
          </cell>
          <cell r="G448">
            <v>0.27398600779055798</v>
          </cell>
          <cell r="H448">
            <v>0.11739806614789</v>
          </cell>
          <cell r="I448">
            <v>0.23890574778561099</v>
          </cell>
        </row>
        <row r="449">
          <cell r="A449" t="str">
            <v>ITOT-SWHSOLBR</v>
          </cell>
          <cell r="B449" t="str">
            <v>VAR_cap</v>
          </cell>
          <cell r="C449" t="str">
            <v>-</v>
          </cell>
          <cell r="D449">
            <v>9.8214799778629808E-3</v>
          </cell>
          <cell r="E449">
            <v>6.4470078832829583E-2</v>
          </cell>
          <cell r="F449">
            <v>6.4470550560256384E-2</v>
          </cell>
          <cell r="G449">
            <v>0.33845655835081501</v>
          </cell>
          <cell r="H449">
            <v>0.33846075048652202</v>
          </cell>
          <cell r="I449">
            <v>0.33845932179118599</v>
          </cell>
        </row>
        <row r="450">
          <cell r="A450" t="str">
            <v>SCOM-SHNGAHP</v>
          </cell>
          <cell r="B450" t="str">
            <v>VAR_fout</v>
          </cell>
          <cell r="C450" t="str">
            <v>SCOM-SHANGAH</v>
          </cell>
          <cell r="F450">
            <v>2.4215492468521922</v>
          </cell>
          <cell r="G450">
            <v>6.7546813375665096</v>
          </cell>
          <cell r="H450">
            <v>11.316962156018121</v>
          </cell>
          <cell r="I450">
            <v>11.648017138787944</v>
          </cell>
        </row>
        <row r="451">
          <cell r="A451" t="str">
            <v>SCOM-SHNGAHP</v>
          </cell>
          <cell r="B451" t="str">
            <v>VAR_fout</v>
          </cell>
          <cell r="C451" t="str">
            <v>CO2_S</v>
          </cell>
          <cell r="F451">
            <v>71.002997718704194</v>
          </cell>
          <cell r="G451">
            <v>189.65289329541599</v>
          </cell>
          <cell r="H451">
            <v>302.40086888662898</v>
          </cell>
          <cell r="I451">
            <v>286.17034039281799</v>
          </cell>
        </row>
        <row r="452">
          <cell r="A452" t="str">
            <v>SCOM-SHNGAHP</v>
          </cell>
          <cell r="B452" t="str">
            <v>VAR_fin</v>
          </cell>
          <cell r="C452" t="str">
            <v>SCOMELCHPC</v>
          </cell>
          <cell r="F452">
            <v>2.4215492468521922</v>
          </cell>
          <cell r="G452">
            <v>6.7546813375665096</v>
          </cell>
          <cell r="H452">
            <v>11.316962156018121</v>
          </cell>
          <cell r="I452">
            <v>11.648017138787944</v>
          </cell>
        </row>
        <row r="453">
          <cell r="A453" t="str">
            <v>SCOM-SHNGAHP</v>
          </cell>
          <cell r="B453" t="str">
            <v>VAR_fin</v>
          </cell>
          <cell r="C453" t="str">
            <v>SNGA</v>
          </cell>
          <cell r="F453">
            <v>1.2589183992678055</v>
          </cell>
          <cell r="G453">
            <v>3.362639952046381</v>
          </cell>
          <cell r="H453">
            <v>5.3617175334508627</v>
          </cell>
          <cell r="I453">
            <v>5.0739422055464098</v>
          </cell>
        </row>
        <row r="454">
          <cell r="A454" t="str">
            <v>SCOM-SHNGAHP</v>
          </cell>
          <cell r="B454" t="str">
            <v>VAR_ncap</v>
          </cell>
          <cell r="C454" t="str">
            <v>-</v>
          </cell>
          <cell r="D454">
            <v>1.2780385426138199E-6</v>
          </cell>
          <cell r="E454">
            <v>1.21489140741819E-4</v>
          </cell>
          <cell r="F454">
            <v>0.18723300510419799</v>
          </cell>
          <cell r="G454">
            <v>0.334855236077166</v>
          </cell>
          <cell r="H454">
            <v>0.459184532182279</v>
          </cell>
          <cell r="I454">
            <v>0.50448675264170795</v>
          </cell>
        </row>
        <row r="455">
          <cell r="A455" t="str">
            <v>SCOM-SHNGAHP</v>
          </cell>
          <cell r="B455" t="str">
            <v>VAR_cap</v>
          </cell>
          <cell r="C455" t="str">
            <v>-</v>
          </cell>
          <cell r="D455">
            <v>1.2780385426138199E-6</v>
          </cell>
          <cell r="E455">
            <v>1.220868892354392E-4</v>
          </cell>
          <cell r="F455">
            <v>0.18735455470648682</v>
          </cell>
          <cell r="G455">
            <v>0.52220962029649942</v>
          </cell>
          <cell r="H455">
            <v>0.87868965599868398</v>
          </cell>
          <cell r="I455">
            <v>0.90441348924496479</v>
          </cell>
        </row>
        <row r="456">
          <cell r="A456" t="str">
            <v>RHNS-SHNGABR</v>
          </cell>
          <cell r="B456" t="str">
            <v>VAR_fout</v>
          </cell>
          <cell r="C456" t="str">
            <v>CO2_R</v>
          </cell>
          <cell r="E456">
            <v>6.06530710670802</v>
          </cell>
          <cell r="F456">
            <v>2.2924248119113901</v>
          </cell>
          <cell r="G456">
            <v>3.4414861998638901</v>
          </cell>
          <cell r="H456">
            <v>3.0214348166618898</v>
          </cell>
          <cell r="I456">
            <v>1.30792136317307</v>
          </cell>
        </row>
        <row r="457">
          <cell r="A457" t="str">
            <v>RHNS-SHNGABR</v>
          </cell>
          <cell r="B457" t="str">
            <v>VAR_fout</v>
          </cell>
          <cell r="C457" t="str">
            <v>RHNS-SHNGA</v>
          </cell>
          <cell r="E457">
            <v>0.10216386083994008</v>
          </cell>
          <cell r="F457">
            <v>3.901513525902113E-2</v>
          </cell>
          <cell r="G457">
            <v>5.8571190157286693E-2</v>
          </cell>
          <cell r="H457">
            <v>5.1422270181280642E-2</v>
          </cell>
          <cell r="I457">
            <v>2.2259717582542436E-2</v>
          </cell>
        </row>
        <row r="458">
          <cell r="A458" t="str">
            <v>RHNS-SHNGABR</v>
          </cell>
          <cell r="B458" t="str">
            <v>VAR_fin</v>
          </cell>
          <cell r="C458" t="str">
            <v>RNGA</v>
          </cell>
          <cell r="E458">
            <v>0.10754090614730541</v>
          </cell>
          <cell r="F458">
            <v>4.0645829998428938E-2</v>
          </cell>
          <cell r="G458">
            <v>6.1019258862834963E-2</v>
          </cell>
          <cell r="H458">
            <v>5.3571539302515736E-2</v>
          </cell>
          <cell r="I458">
            <v>2.319009509172109E-2</v>
          </cell>
        </row>
        <row r="459">
          <cell r="A459" t="str">
            <v>RHNS-SHNGABR</v>
          </cell>
          <cell r="B459" t="str">
            <v>VAR_ncap</v>
          </cell>
          <cell r="C459" t="str">
            <v>-</v>
          </cell>
          <cell r="E459">
            <v>7.5369203484136199E-3</v>
          </cell>
          <cell r="F459">
            <v>1.97885021774079E-6</v>
          </cell>
          <cell r="G459">
            <v>1.4944950331159501E-6</v>
          </cell>
          <cell r="H459">
            <v>2.8694109270609898E-3</v>
          </cell>
          <cell r="I459">
            <v>3.3958542123420602E-6</v>
          </cell>
        </row>
        <row r="460">
          <cell r="A460" t="str">
            <v>RHNS-SHNGABR</v>
          </cell>
          <cell r="B460" t="str">
            <v>VAR_cap</v>
          </cell>
          <cell r="C460" t="str">
            <v>-</v>
          </cell>
          <cell r="E460">
            <v>7.5369203484136199E-3</v>
          </cell>
          <cell r="F460">
            <v>7.5334784086589024E-3</v>
          </cell>
          <cell r="G460">
            <v>7.529357499088991E-3</v>
          </cell>
          <cell r="H460">
            <v>3.8937296968402715E-3</v>
          </cell>
          <cell r="I460">
            <v>2.5098295580255948E-3</v>
          </cell>
        </row>
        <row r="461">
          <cell r="A461" t="str">
            <v>D-RHNM_LTH_CHPNGA</v>
          </cell>
          <cell r="B461" t="str">
            <v>VAR_fout</v>
          </cell>
          <cell r="C461" t="str">
            <v>RHSA_LTH</v>
          </cell>
          <cell r="D461">
            <v>1.2989124811981002E-4</v>
          </cell>
          <cell r="E461">
            <v>1.0892681976420247E-3</v>
          </cell>
          <cell r="F461">
            <v>1.6444193649168416E-2</v>
          </cell>
          <cell r="G461">
            <v>4.5817202981797041E-3</v>
          </cell>
          <cell r="H461">
            <v>7.9154743688423339E-3</v>
          </cell>
          <cell r="I461">
            <v>6.4070152338871391E-5</v>
          </cell>
        </row>
        <row r="462">
          <cell r="A462" t="str">
            <v>D-RHNM_LTH_CHPNGA</v>
          </cell>
          <cell r="B462" t="str">
            <v>VAR_fout</v>
          </cell>
          <cell r="C462" t="str">
            <v>LTH</v>
          </cell>
          <cell r="F462">
            <v>4.9582902656066113E-6</v>
          </cell>
          <cell r="G462">
            <v>2.9643600544893086E-6</v>
          </cell>
          <cell r="H462">
            <v>1.357473351536414E-5</v>
          </cell>
          <cell r="I462">
            <v>3.9049148761577843E-5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RHNM_LTH_CHPNGA_ON</v>
          </cell>
          <cell r="D463">
            <v>1.4511793339465971E-4</v>
          </cell>
          <cell r="E463">
            <v>3.4735680956609577E-3</v>
          </cell>
          <cell r="H463">
            <v>1.4527501852979066E-3</v>
          </cell>
          <cell r="I463">
            <v>1.1234393534177006E-5</v>
          </cell>
        </row>
        <row r="464">
          <cell r="A464" t="str">
            <v>D-RHNM_LTH_CHPNGA</v>
          </cell>
          <cell r="B464" t="str">
            <v>VAR_fin</v>
          </cell>
          <cell r="C464" t="str">
            <v>RHNM_LTH_CHPNGA</v>
          </cell>
          <cell r="D464">
            <v>2.7500918151446974E-4</v>
          </cell>
          <cell r="E464">
            <v>4.5638056513347654E-3</v>
          </cell>
          <cell r="F464">
            <v>1.6449594639972857E-2</v>
          </cell>
          <cell r="G464">
            <v>4.5850237177937408E-3</v>
          </cell>
          <cell r="H464">
            <v>9.3821536170351407E-3</v>
          </cell>
          <cell r="I464">
            <v>1.1435369463462633E-4</v>
          </cell>
        </row>
        <row r="465">
          <cell r="A465" t="str">
            <v>RHNM-SHELCHP</v>
          </cell>
          <cell r="B465" t="str">
            <v>VAR_fout</v>
          </cell>
          <cell r="C465" t="str">
            <v>RHNM-SHAELCH</v>
          </cell>
          <cell r="E465">
            <v>8.6968036385221968E-4</v>
          </cell>
          <cell r="F465">
            <v>0.93992115276362609</v>
          </cell>
          <cell r="G465">
            <v>1.4107700537196721</v>
          </cell>
          <cell r="H465">
            <v>2.30038327590532</v>
          </cell>
          <cell r="I465">
            <v>2.9086325959883945</v>
          </cell>
        </row>
        <row r="466">
          <cell r="A466" t="str">
            <v>RHNM-SHELCHP</v>
          </cell>
          <cell r="B466" t="str">
            <v>VAR_fin</v>
          </cell>
          <cell r="C466" t="str">
            <v>RHNM_ELC</v>
          </cell>
          <cell r="E466">
            <v>2.6731978397096943E-4</v>
          </cell>
          <cell r="F466">
            <v>0.28008557273199258</v>
          </cell>
          <cell r="G466">
            <v>0.39980823257080994</v>
          </cell>
          <cell r="H466">
            <v>0.60080325241583954</v>
          </cell>
          <cell r="I466">
            <v>0.70421324172690369</v>
          </cell>
        </row>
        <row r="467">
          <cell r="A467" t="str">
            <v>RHNM-SHELCHP</v>
          </cell>
          <cell r="B467" t="str">
            <v>VAR_fin</v>
          </cell>
          <cell r="C467" t="str">
            <v>RHNMELCHPC</v>
          </cell>
          <cell r="E467">
            <v>8.6968036385221968E-4</v>
          </cell>
          <cell r="F467">
            <v>0.93992115276362609</v>
          </cell>
          <cell r="G467">
            <v>1.4107700537196721</v>
          </cell>
          <cell r="H467">
            <v>2.30038327590532</v>
          </cell>
          <cell r="I467">
            <v>2.9086325959883945</v>
          </cell>
        </row>
        <row r="468">
          <cell r="A468" t="str">
            <v>RHNM-SHELCHP</v>
          </cell>
          <cell r="B468" t="str">
            <v>VAR_ncap</v>
          </cell>
          <cell r="C468" t="str">
            <v>-</v>
          </cell>
          <cell r="E468">
            <v>2.9111135337119497E-4</v>
          </cell>
          <cell r="F468">
            <v>7.2891428212129503E-2</v>
          </cell>
          <cell r="G468">
            <v>3.6714874251586101E-2</v>
          </cell>
          <cell r="H468">
            <v>0.103600063207534</v>
          </cell>
          <cell r="I468">
            <v>0.13461592873960099</v>
          </cell>
        </row>
        <row r="469">
          <cell r="A469" t="str">
            <v>RHNM-SHELCHP</v>
          </cell>
          <cell r="B469" t="str">
            <v>VAR_cap</v>
          </cell>
          <cell r="C469" t="str">
            <v>-</v>
          </cell>
          <cell r="E469">
            <v>2.9111135337119497E-4</v>
          </cell>
          <cell r="F469">
            <v>7.318197512982412E-2</v>
          </cell>
          <cell r="G469">
            <v>0.10989486855152496</v>
          </cell>
          <cell r="H469">
            <v>0.17950617426614124</v>
          </cell>
          <cell r="I469">
            <v>0.22584178017387277</v>
          </cell>
        </row>
        <row r="470">
          <cell r="A470" t="str">
            <v>D-IH2R</v>
          </cell>
          <cell r="B470" t="str">
            <v>VAR_fout</v>
          </cell>
          <cell r="C470" t="str">
            <v>IH2</v>
          </cell>
          <cell r="H470">
            <v>13.089652662645911</v>
          </cell>
          <cell r="I470">
            <v>8.1280418165278157</v>
          </cell>
        </row>
        <row r="471">
          <cell r="A471" t="str">
            <v>D-IH2R</v>
          </cell>
          <cell r="B471" t="str">
            <v>VAR_fin</v>
          </cell>
          <cell r="C471" t="str">
            <v>H2</v>
          </cell>
          <cell r="H471">
            <v>13.089652662645911</v>
          </cell>
          <cell r="I471">
            <v>8.1280418165278157</v>
          </cell>
        </row>
        <row r="472">
          <cell r="A472" t="str">
            <v>D-IH2R</v>
          </cell>
          <cell r="B472" t="str">
            <v>VAR_ncap</v>
          </cell>
          <cell r="C472" t="str">
            <v>-</v>
          </cell>
          <cell r="G472">
            <v>1.46598462973575E-6</v>
          </cell>
          <cell r="H472">
            <v>0.46372869137946299</v>
          </cell>
          <cell r="I472">
            <v>0.127543704520828</v>
          </cell>
        </row>
        <row r="473">
          <cell r="A473" t="str">
            <v>D-IH2R</v>
          </cell>
          <cell r="B473" t="str">
            <v>VAR_cap</v>
          </cell>
          <cell r="C473" t="str">
            <v>-</v>
          </cell>
          <cell r="G473">
            <v>1.46598462973575E-6</v>
          </cell>
          <cell r="H473">
            <v>0.52148606253256102</v>
          </cell>
          <cell r="I473">
            <v>0.28638063404324499</v>
          </cell>
        </row>
        <row r="474">
          <cell r="A474" t="str">
            <v>RHEM-SHSTG-ELC</v>
          </cell>
          <cell r="B474" t="str">
            <v>VAR_fout</v>
          </cell>
          <cell r="C474" t="str">
            <v>RHEM-SHAELCB</v>
          </cell>
          <cell r="D474">
            <v>3.3577272869512049E-7</v>
          </cell>
          <cell r="E474">
            <v>0.77140579274982468</v>
          </cell>
          <cell r="F474">
            <v>6.3585482273343713E-3</v>
          </cell>
          <cell r="G474">
            <v>1.7061830804773481E-3</v>
          </cell>
          <cell r="H474">
            <v>2.3883898347233336E-4</v>
          </cell>
          <cell r="I474">
            <v>3.0900070653520917E-4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5.8593359777401853E-5</v>
          </cell>
          <cell r="E475">
            <v>0.77144847781718784</v>
          </cell>
          <cell r="F475">
            <v>6.3555484158115145E-3</v>
          </cell>
          <cell r="G475">
            <v>1.7059104260685183E-3</v>
          </cell>
          <cell r="H475">
            <v>2.435931555963661E-4</v>
          </cell>
          <cell r="I475">
            <v>3.1158689492420471E-4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4.2892844650844898E-2</v>
          </cell>
          <cell r="E476">
            <v>3.4100768373500602E-2</v>
          </cell>
          <cell r="F476">
            <v>3.5339079665353397E-5</v>
          </cell>
          <cell r="G476">
            <v>5.1368585175868503E-5</v>
          </cell>
          <cell r="H476">
            <v>5.8485716741930801E-5</v>
          </cell>
          <cell r="I476">
            <v>6.6706012065359096E-5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4.2892844650844898E-2</v>
          </cell>
          <cell r="E477">
            <v>7.6886995827068649E-2</v>
          </cell>
          <cell r="F477">
            <v>1.1296737799351975E-3</v>
          </cell>
          <cell r="G477">
            <v>3.5684306880659489E-4</v>
          </cell>
          <cell r="H477">
            <v>6.7005722638710996E-5</v>
          </cell>
          <cell r="I477">
            <v>8.5280635780647011E-5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4.3303054399182098E-4</v>
          </cell>
          <cell r="H478">
            <v>5.6881783637673603E-3</v>
          </cell>
          <cell r="I478">
            <v>4.2575566478857802E-4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4.3303054399182098E-4</v>
          </cell>
          <cell r="H479">
            <v>7.7826458539145202E-3</v>
          </cell>
          <cell r="I479">
            <v>9.3624564731912933E-4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74.35269248141455</v>
          </cell>
          <cell r="F480">
            <v>75.692598758160898</v>
          </cell>
          <cell r="G480">
            <v>76.679221044440467</v>
          </cell>
          <cell r="H480">
            <v>77.235103262790986</v>
          </cell>
          <cell r="I480">
            <v>77.836443425572725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2.5447897388529785E-2</v>
          </cell>
          <cell r="G481">
            <v>1.1503027979569397E-2</v>
          </cell>
          <cell r="H481">
            <v>1.2827363751996335E-2</v>
          </cell>
          <cell r="I481">
            <v>1.2830092156615446E-2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61.718209424792022</v>
          </cell>
          <cell r="E482">
            <v>58.487833861091971</v>
          </cell>
          <cell r="F482">
            <v>54.977177689348927</v>
          </cell>
          <cell r="G482">
            <v>48.895081951892784</v>
          </cell>
          <cell r="H482">
            <v>44.613851814457163</v>
          </cell>
          <cell r="I482">
            <v>46.011480288992836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1.4007977057693684</v>
          </cell>
          <cell r="F483">
            <v>1.6867858426292868</v>
          </cell>
          <cell r="G483">
            <v>5.89542360417341</v>
          </cell>
          <cell r="H483">
            <v>5.8903454541601388</v>
          </cell>
          <cell r="I483">
            <v>5.8342217626702038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4.0437289773582883</v>
          </cell>
          <cell r="F484">
            <v>4.0437511868973139</v>
          </cell>
          <cell r="G484">
            <v>4.6361336320846007</v>
          </cell>
          <cell r="H484">
            <v>9.7188316644573938</v>
          </cell>
          <cell r="I484">
            <v>9.7188891896090812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9.8139995052040359</v>
          </cell>
          <cell r="E485">
            <v>10.335089668520235</v>
          </cell>
          <cell r="F485">
            <v>14.874545989791573</v>
          </cell>
          <cell r="G485">
            <v>14.911819816728412</v>
          </cell>
          <cell r="H485">
            <v>14.691317201034966</v>
          </cell>
          <cell r="I485">
            <v>14.624889806250696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6.7832560854930835E-2</v>
          </cell>
          <cell r="E486">
            <v>8.5658528088872615E-2</v>
          </cell>
          <cell r="F486">
            <v>8.5401476087510059E-2</v>
          </cell>
          <cell r="G486">
            <v>2.3296605088005307</v>
          </cell>
          <cell r="H486">
            <v>2.3087067781853041</v>
          </cell>
          <cell r="I486">
            <v>1.6348903195151456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5.6172115454899887E-4</v>
          </cell>
          <cell r="F487">
            <v>1.8792123464370111E-3</v>
          </cell>
          <cell r="G487">
            <v>9.2372785325031985E-4</v>
          </cell>
          <cell r="H487">
            <v>9.9407453144264831E-4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5.6161481143801747E-4</v>
          </cell>
          <cell r="F488">
            <v>1.8820872927256772E-3</v>
          </cell>
          <cell r="G488">
            <v>9.2465978566436406E-4</v>
          </cell>
          <cell r="H488">
            <v>9.947894339899148E-4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1.1233359659870155E-3</v>
          </cell>
          <cell r="F489">
            <v>3.7316447454190374E-3</v>
          </cell>
          <cell r="G489">
            <v>1.8246199732909181E-3</v>
          </cell>
          <cell r="H489">
            <v>1.9509358702267691E-3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1.3936312452878364E-2</v>
          </cell>
          <cell r="G490">
            <v>4.7949102285779817E-2</v>
          </cell>
          <cell r="H490">
            <v>0.12199174274881872</v>
          </cell>
          <cell r="I490">
            <v>0.17891728658210423</v>
          </cell>
        </row>
        <row r="491">
          <cell r="A491" t="str">
            <v>RHNM-SHSTG-NGAHP</v>
          </cell>
          <cell r="B491" t="str">
            <v>VAR_fin</v>
          </cell>
          <cell r="C491" t="str">
            <v>RHNM-SHANGAH</v>
          </cell>
          <cell r="F491">
            <v>1.406400613387288E-2</v>
          </cell>
          <cell r="G491">
            <v>4.8058110960853939E-2</v>
          </cell>
          <cell r="H491">
            <v>0.12206822291530663</v>
          </cell>
          <cell r="I491">
            <v>0.17899423611653256</v>
          </cell>
        </row>
        <row r="492">
          <cell r="A492" t="str">
            <v>RHNM-SHSTG-NGAHP</v>
          </cell>
          <cell r="B492" t="str">
            <v>VAR_ncap</v>
          </cell>
          <cell r="C492" t="str">
            <v>-</v>
          </cell>
          <cell r="D492">
            <v>4.3442312105858798E-5</v>
          </cell>
          <cell r="E492">
            <v>3.7709748931058799E-5</v>
          </cell>
          <cell r="F492">
            <v>4.9864931285930197E-3</v>
          </cell>
          <cell r="G492">
            <v>8.7192433533021408E-3</v>
          </cell>
          <cell r="H492">
            <v>1.2005151287555801E-2</v>
          </cell>
          <cell r="I492">
            <v>1.7174318470452799E-2</v>
          </cell>
        </row>
        <row r="493">
          <cell r="A493" t="str">
            <v>RHNM-SHSTG-NGAHP</v>
          </cell>
          <cell r="B493" t="str">
            <v>VAR_cap</v>
          </cell>
          <cell r="C493" t="str">
            <v>-</v>
          </cell>
          <cell r="D493">
            <v>4.3442312105858798E-5</v>
          </cell>
          <cell r="E493">
            <v>3.7748152736608997E-6</v>
          </cell>
          <cell r="F493">
            <v>4.96704838990318E-3</v>
          </cell>
          <cell r="G493">
            <v>1.3646368925572029E-2</v>
          </cell>
          <cell r="H493">
            <v>2.4291710815413609E-2</v>
          </cell>
          <cell r="I493">
            <v>2.8138029788833851E-2</v>
          </cell>
        </row>
        <row r="494">
          <cell r="A494" t="str">
            <v>D-IBIO</v>
          </cell>
          <cell r="B494" t="str">
            <v>VAR_fout</v>
          </cell>
          <cell r="C494" t="str">
            <v>IBIO</v>
          </cell>
          <cell r="D494">
            <v>0.43680293390407765</v>
          </cell>
          <cell r="E494">
            <v>0.55208447861884991</v>
          </cell>
          <cell r="F494">
            <v>1.6569961487048186</v>
          </cell>
          <cell r="G494">
            <v>2.0881754422262904</v>
          </cell>
          <cell r="H494">
            <v>2.0883822462650889</v>
          </cell>
          <cell r="I494">
            <v>2.0884117568615412</v>
          </cell>
        </row>
        <row r="495">
          <cell r="A495" t="str">
            <v>D-IBIO</v>
          </cell>
          <cell r="B495" t="str">
            <v>VAR_fin</v>
          </cell>
          <cell r="C495" t="str">
            <v>BIO</v>
          </cell>
          <cell r="D495">
            <v>0.43680293390407765</v>
          </cell>
          <cell r="E495">
            <v>0.55208447861884991</v>
          </cell>
          <cell r="F495">
            <v>1.6569961487048186</v>
          </cell>
          <cell r="G495">
            <v>2.0881754422262904</v>
          </cell>
          <cell r="H495">
            <v>2.0883822462650889</v>
          </cell>
          <cell r="I495">
            <v>2.0884117568615412</v>
          </cell>
        </row>
        <row r="496">
          <cell r="A496" t="str">
            <v>D-RHES_KEV_WOD_ELC_CHP</v>
          </cell>
          <cell r="B496" t="str">
            <v>VAR_fout</v>
          </cell>
          <cell r="C496" t="str">
            <v>RHES_ELC</v>
          </cell>
          <cell r="G496">
            <v>4.1556647605143192E-4</v>
          </cell>
          <cell r="H496">
            <v>1.3618498039710016E-3</v>
          </cell>
          <cell r="I496">
            <v>5.9408145421514672E-4</v>
          </cell>
        </row>
        <row r="497">
          <cell r="A497" t="str">
            <v>D-RHES_KEV_WOD_ELC_CHP</v>
          </cell>
          <cell r="B497" t="str">
            <v>VAR_fout</v>
          </cell>
          <cell r="C497" t="str">
            <v>ELC5</v>
          </cell>
          <cell r="G497">
            <v>6.5710402295796012E-4</v>
          </cell>
          <cell r="H497">
            <v>1.3625294342341156E-3</v>
          </cell>
          <cell r="I497">
            <v>5.9420491326628451E-4</v>
          </cell>
        </row>
        <row r="498">
          <cell r="A498" t="str">
            <v>D-RHES_KEV_WOD_ELC_CHP</v>
          </cell>
          <cell r="B498" t="str">
            <v>VAR_fin</v>
          </cell>
          <cell r="C498" t="str">
            <v>RHES_KEV_WOD_ELC_CHP</v>
          </cell>
          <cell r="G498">
            <v>1.0546389665542757E-3</v>
          </cell>
          <cell r="H498">
            <v>2.6958033416655358E-3</v>
          </cell>
          <cell r="I498">
            <v>1.1626507162667927E-3</v>
          </cell>
        </row>
        <row r="499">
          <cell r="A499" t="str">
            <v>RHNS-SHLFOBR</v>
          </cell>
          <cell r="B499" t="str">
            <v>VAR_fout</v>
          </cell>
          <cell r="C499" t="str">
            <v>CO2_R</v>
          </cell>
          <cell r="E499">
            <v>1.5553487961414999E-2</v>
          </cell>
          <cell r="F499">
            <v>1.5789221543301699</v>
          </cell>
          <cell r="G499">
            <v>3.5344780688485802</v>
          </cell>
          <cell r="H499">
            <v>3.0600381266492001</v>
          </cell>
        </row>
        <row r="500">
          <cell r="A500" t="str">
            <v>RHNS-SHLFOBR</v>
          </cell>
          <cell r="B500" t="str">
            <v>VAR_fout</v>
          </cell>
          <cell r="C500" t="str">
            <v>RHNS-SHLFO</v>
          </cell>
          <cell r="E500">
            <v>1.8905472137631377E-4</v>
          </cell>
          <cell r="F500">
            <v>2.0340381734623828E-2</v>
          </cell>
          <cell r="G500">
            <v>4.5532728105607795E-2</v>
          </cell>
          <cell r="H500">
            <v>3.9420780465869824E-2</v>
          </cell>
        </row>
        <row r="501">
          <cell r="A501" t="str">
            <v>RHNS-SHLFOBR</v>
          </cell>
          <cell r="B501" t="str">
            <v>VAR_fin</v>
          </cell>
          <cell r="C501" t="str">
            <v>RLFO</v>
          </cell>
          <cell r="E501">
            <v>2.1103782851309444E-4</v>
          </cell>
          <cell r="F501">
            <v>2.1423638457668544E-2</v>
          </cell>
          <cell r="G501">
            <v>4.7957640011514022E-2</v>
          </cell>
          <cell r="H501">
            <v>4.1520191677736761E-2</v>
          </cell>
        </row>
        <row r="502">
          <cell r="A502" t="str">
            <v>RHNS-SHLFOBR</v>
          </cell>
          <cell r="B502" t="str">
            <v>VAR_ncap</v>
          </cell>
          <cell r="C502" t="str">
            <v>-</v>
          </cell>
          <cell r="E502">
            <v>5.4735731811638703E-5</v>
          </cell>
          <cell r="F502">
            <v>1.6253006953437499E-2</v>
          </cell>
        </row>
        <row r="503">
          <cell r="A503" t="str">
            <v>RHNS-SHLFOBR</v>
          </cell>
          <cell r="B503" t="str">
            <v>VAR_cap</v>
          </cell>
          <cell r="C503" t="str">
            <v>-</v>
          </cell>
          <cell r="E503">
            <v>5.4735731811638703E-5</v>
          </cell>
          <cell r="F503">
            <v>1.6293773510742703E-2</v>
          </cell>
          <cell r="G503">
            <v>1.6283088237215675E-2</v>
          </cell>
          <cell r="H503">
            <v>2.8787180493137438E-3</v>
          </cell>
        </row>
        <row r="504">
          <cell r="A504" t="str">
            <v>D-SNGA</v>
          </cell>
          <cell r="B504" t="str">
            <v>VAR_fout</v>
          </cell>
          <cell r="C504" t="str">
            <v>CO2</v>
          </cell>
          <cell r="D504">
            <v>1524.6436714798199</v>
          </cell>
          <cell r="E504">
            <v>1523.84977005733</v>
          </cell>
          <cell r="F504">
            <v>1309.5693352902099</v>
          </cell>
          <cell r="G504">
            <v>1086.86555459442</v>
          </cell>
          <cell r="H504">
            <v>547.62716566164897</v>
          </cell>
          <cell r="I504">
            <v>276.45944352637002</v>
          </cell>
        </row>
        <row r="505">
          <cell r="A505" t="str">
            <v>D-SNGA</v>
          </cell>
          <cell r="B505" t="str">
            <v>VAR_fout</v>
          </cell>
          <cell r="C505" t="str">
            <v>SNGA</v>
          </cell>
          <cell r="D505">
            <v>27.251402196726016</v>
          </cell>
          <cell r="E505">
            <v>28.489435805525869</v>
          </cell>
          <cell r="F505">
            <v>24.18237551007881</v>
          </cell>
          <cell r="G505">
            <v>20.268141228577171</v>
          </cell>
          <cell r="H505">
            <v>11.559288934682064</v>
          </cell>
          <cell r="I505">
            <v>7.5540655320508323</v>
          </cell>
        </row>
        <row r="506">
          <cell r="A506" t="str">
            <v>D-SNGA</v>
          </cell>
          <cell r="B506" t="str">
            <v>VAR_fout</v>
          </cell>
          <cell r="C506" t="str">
            <v>RSH2</v>
          </cell>
          <cell r="G506">
            <v>1.2244572860975392E-2</v>
          </cell>
          <cell r="H506">
            <v>1.4565699508629773E-2</v>
          </cell>
          <cell r="I506">
            <v>1.8279181564090391E-3</v>
          </cell>
        </row>
        <row r="507">
          <cell r="A507" t="str">
            <v>D-SNGA</v>
          </cell>
          <cell r="B507" t="str">
            <v>VAR_fin</v>
          </cell>
          <cell r="C507" t="str">
            <v>NGA</v>
          </cell>
          <cell r="D507">
            <v>27.032689210635073</v>
          </cell>
          <cell r="E507">
            <v>27.018612944278839</v>
          </cell>
          <cell r="F507">
            <v>23.219314455500079</v>
          </cell>
          <cell r="G507">
            <v>19.270665861603259</v>
          </cell>
          <cell r="H507">
            <v>9.7097015188235627</v>
          </cell>
          <cell r="I507">
            <v>4.901763183091667</v>
          </cell>
        </row>
        <row r="508">
          <cell r="A508" t="str">
            <v>D-SNGA</v>
          </cell>
          <cell r="B508" t="str">
            <v>VAR_fin</v>
          </cell>
          <cell r="C508" t="str">
            <v>BNGA</v>
          </cell>
          <cell r="D508">
            <v>0.30577084935075477</v>
          </cell>
          <cell r="E508">
            <v>1.5618357709242383</v>
          </cell>
          <cell r="F508">
            <v>1.040314545069114</v>
          </cell>
          <cell r="G508">
            <v>1.0623689908707095</v>
          </cell>
          <cell r="H508">
            <v>1.8866601381381731</v>
          </cell>
          <cell r="I508">
            <v>2.6769537929189551</v>
          </cell>
        </row>
        <row r="509">
          <cell r="A509" t="str">
            <v>D-SNGA</v>
          </cell>
          <cell r="B509" t="str">
            <v>VAR_fin</v>
          </cell>
          <cell r="C509" t="str">
            <v>H2</v>
          </cell>
          <cell r="G509">
            <v>1.2242712545203658E-2</v>
          </cell>
          <cell r="H509">
            <v>1.4543124743076726E-2</v>
          </cell>
          <cell r="I509">
            <v>1.8079650543988556E-3</v>
          </cell>
        </row>
        <row r="510">
          <cell r="A510" t="str">
            <v>D-SNGA</v>
          </cell>
          <cell r="B510" t="str">
            <v>VAR_ncap</v>
          </cell>
          <cell r="C510" t="str">
            <v>-</v>
          </cell>
          <cell r="D510">
            <v>3.4083514067659299E-6</v>
          </cell>
          <cell r="E510">
            <v>4.0806143702612E-7</v>
          </cell>
          <cell r="F510">
            <v>5.6522970806140797E-7</v>
          </cell>
          <cell r="G510">
            <v>7.9286270775337301E-7</v>
          </cell>
          <cell r="H510">
            <v>1.7359569223800601E-6</v>
          </cell>
          <cell r="I510">
            <v>3.0370694002798102E-6</v>
          </cell>
        </row>
        <row r="511">
          <cell r="A511" t="str">
            <v>D-SNGA</v>
          </cell>
          <cell r="B511" t="str">
            <v>VAR_cap</v>
          </cell>
          <cell r="C511" t="str">
            <v>-</v>
          </cell>
          <cell r="D511">
            <v>2.2350556099765471</v>
          </cell>
          <cell r="E511">
            <v>2.2350560180379841</v>
          </cell>
          <cell r="F511">
            <v>2.2350565832676921</v>
          </cell>
          <cell r="G511">
            <v>2.2350573761303996</v>
          </cell>
          <cell r="H511">
            <v>2.2350604661485445</v>
          </cell>
          <cell r="I511">
            <v>1.1209018040816647</v>
          </cell>
        </row>
        <row r="512">
          <cell r="A512" t="str">
            <v>D-IPLT</v>
          </cell>
          <cell r="B512" t="str">
            <v>VAR_fout</v>
          </cell>
          <cell r="C512" t="str">
            <v>IPLT</v>
          </cell>
          <cell r="D512">
            <v>0.62582624222644578</v>
          </cell>
          <cell r="E512">
            <v>0.73758790882719549</v>
          </cell>
          <cell r="F512">
            <v>0.73650827749708303</v>
          </cell>
          <cell r="G512">
            <v>0.73449143201984479</v>
          </cell>
          <cell r="H512">
            <v>0.7304284605068827</v>
          </cell>
          <cell r="I512">
            <v>0.72637415529677496</v>
          </cell>
        </row>
        <row r="513">
          <cell r="A513" t="str">
            <v>D-IPLT</v>
          </cell>
          <cell r="B513" t="str">
            <v>VAR_fin</v>
          </cell>
          <cell r="C513" t="str">
            <v>PLT</v>
          </cell>
          <cell r="D513">
            <v>0.62582624222644578</v>
          </cell>
          <cell r="E513">
            <v>0.73758790882719549</v>
          </cell>
          <cell r="F513">
            <v>0.73650827749708303</v>
          </cell>
          <cell r="G513">
            <v>0.73449143201984479</v>
          </cell>
          <cell r="H513">
            <v>0.7304284605068827</v>
          </cell>
          <cell r="I513">
            <v>0.72637415529677496</v>
          </cell>
        </row>
        <row r="514">
          <cell r="A514" t="str">
            <v>ITOT-SWHWODBR</v>
          </cell>
          <cell r="B514" t="str">
            <v>VAR_fout</v>
          </cell>
          <cell r="C514" t="str">
            <v>ITOT-SWH</v>
          </cell>
          <cell r="D514">
            <v>5.3111818985650077</v>
          </cell>
          <cell r="E514">
            <v>6.2669700473221051</v>
          </cell>
          <cell r="F514">
            <v>5.7947338959079637</v>
          </cell>
          <cell r="G514">
            <v>6.7002007918438231</v>
          </cell>
          <cell r="H514">
            <v>6.5850568685397946</v>
          </cell>
          <cell r="I514">
            <v>5.4822214092260673</v>
          </cell>
        </row>
        <row r="515">
          <cell r="A515" t="str">
            <v>ITOT-SWHWODBR</v>
          </cell>
          <cell r="B515" t="str">
            <v>VAR_fin</v>
          </cell>
          <cell r="C515" t="str">
            <v>IWOD</v>
          </cell>
          <cell r="D515">
            <v>9.0020032179067879</v>
          </cell>
          <cell r="E515">
            <v>10.609994436775571</v>
          </cell>
          <cell r="F515">
            <v>9.7939164437881132</v>
          </cell>
          <cell r="G515">
            <v>11.292473244680613</v>
          </cell>
          <cell r="H515">
            <v>11.036408159563878</v>
          </cell>
          <cell r="I515">
            <v>9.1370356820434484</v>
          </cell>
        </row>
        <row r="516">
          <cell r="A516" t="str">
            <v>ITOT-SWHWODBR</v>
          </cell>
          <cell r="B516" t="str">
            <v>VAR_fin</v>
          </cell>
          <cell r="C516" t="str">
            <v>ITOTWODBRC</v>
          </cell>
          <cell r="D516">
            <v>5.3111818985650077</v>
          </cell>
          <cell r="E516">
            <v>6.2669700473221051</v>
          </cell>
          <cell r="F516">
            <v>5.7947338959079637</v>
          </cell>
          <cell r="G516">
            <v>6.7002007918438231</v>
          </cell>
          <cell r="H516">
            <v>6.5850568685397946</v>
          </cell>
          <cell r="I516">
            <v>5.4822214092260673</v>
          </cell>
        </row>
        <row r="517">
          <cell r="A517" t="str">
            <v>ITOT-SWHWODBR</v>
          </cell>
          <cell r="B517" t="str">
            <v>VAR_ncap</v>
          </cell>
          <cell r="C517" t="str">
            <v>-</v>
          </cell>
          <cell r="E517">
            <v>5.31085943249031E-2</v>
          </cell>
          <cell r="F517">
            <v>5.09435654515104E-5</v>
          </cell>
          <cell r="G517">
            <v>8.0919417119653503E-2</v>
          </cell>
          <cell r="H517">
            <v>0.162995669316914</v>
          </cell>
          <cell r="I517">
            <v>0.39698970850424498</v>
          </cell>
        </row>
        <row r="518">
          <cell r="A518" t="str">
            <v>ITOT-SWHWODBR</v>
          </cell>
          <cell r="B518" t="str">
            <v>VAR_cap</v>
          </cell>
          <cell r="C518" t="str">
            <v>-</v>
          </cell>
          <cell r="D518">
            <v>0.28883369534761499</v>
          </cell>
          <cell r="E518">
            <v>0.34193782642031506</v>
          </cell>
          <cell r="F518">
            <v>0.34179490904564802</v>
          </cell>
          <cell r="G518">
            <v>0.42261562750342674</v>
          </cell>
          <cell r="H518">
            <v>0.43771913710584587</v>
          </cell>
          <cell r="I518">
            <v>0.40506188424303102</v>
          </cell>
        </row>
        <row r="519">
          <cell r="A519" t="str">
            <v>D-ITOT_KEV_WOD_ELC_CHP</v>
          </cell>
          <cell r="B519" t="str">
            <v>VAR_fout</v>
          </cell>
          <cell r="C519" t="str">
            <v>ITOT_ELC</v>
          </cell>
          <cell r="D519">
            <v>1.205023861741168E-3</v>
          </cell>
          <cell r="E519">
            <v>4.8713759543975578E-4</v>
          </cell>
          <cell r="F519">
            <v>8.534432725808141E-4</v>
          </cell>
          <cell r="G519">
            <v>6.2218695423260154E-3</v>
          </cell>
          <cell r="H519">
            <v>2.410821691227476</v>
          </cell>
          <cell r="I519">
            <v>3.927345707256054</v>
          </cell>
        </row>
        <row r="520">
          <cell r="A520" t="str">
            <v>D-ITOT_KEV_WOD_ELC_CHP</v>
          </cell>
          <cell r="B520" t="str">
            <v>VAR_fout</v>
          </cell>
          <cell r="C520" t="str">
            <v>ELC5</v>
          </cell>
          <cell r="D520">
            <v>0.17129041944064471</v>
          </cell>
          <cell r="E520">
            <v>0.51164540099376099</v>
          </cell>
          <cell r="F520">
            <v>1.1215000744804193</v>
          </cell>
          <cell r="G520">
            <v>1.7378688406036844</v>
          </cell>
          <cell r="H520">
            <v>0.3406209403711602</v>
          </cell>
          <cell r="I520">
            <v>0.54901292657927914</v>
          </cell>
        </row>
        <row r="521">
          <cell r="A521" t="str">
            <v>D-ITOT_KEV_WOD_ELC_CHP</v>
          </cell>
          <cell r="B521" t="str">
            <v>VAR_fin</v>
          </cell>
          <cell r="C521" t="str">
            <v>ITOT_KEV_WOD_ELC_CHP</v>
          </cell>
          <cell r="D521">
            <v>0.17249544330238578</v>
          </cell>
          <cell r="E521">
            <v>0.5121325385892016</v>
          </cell>
          <cell r="F521">
            <v>1.1223309492435565</v>
          </cell>
          <cell r="G521">
            <v>1.7440554554147625</v>
          </cell>
          <cell r="H521">
            <v>2.7514426315986338</v>
          </cell>
          <cell r="I521">
            <v>4.4763586338353329</v>
          </cell>
        </row>
        <row r="522">
          <cell r="A522" t="str">
            <v>RHEM-SHSTG-SOL</v>
          </cell>
          <cell r="B522" t="str">
            <v>VAR_fout</v>
          </cell>
          <cell r="C522" t="str">
            <v>RHEM-SHASOL</v>
          </cell>
          <cell r="D522">
            <v>1.9518771529766119E-5</v>
          </cell>
          <cell r="E522">
            <v>2.119032230283853E-5</v>
          </cell>
          <cell r="F522">
            <v>3.8824217095567654E-3</v>
          </cell>
          <cell r="G522">
            <v>4.5747768290282922E-3</v>
          </cell>
          <cell r="H522">
            <v>1.6801089899962293E-3</v>
          </cell>
          <cell r="I522">
            <v>1.5602153105300522E-3</v>
          </cell>
        </row>
        <row r="523">
          <cell r="A523" t="str">
            <v>RHEM-SHSTG-SOL</v>
          </cell>
          <cell r="B523" t="str">
            <v>VAR_fin</v>
          </cell>
          <cell r="C523" t="str">
            <v>RHEM-SHASOL</v>
          </cell>
          <cell r="D523">
            <v>1.8018341472408275E-5</v>
          </cell>
          <cell r="E523">
            <v>4.5893510196201519E-5</v>
          </cell>
          <cell r="F523">
            <v>3.9084899696588344E-3</v>
          </cell>
          <cell r="G523">
            <v>4.5782203178677591E-3</v>
          </cell>
          <cell r="H523">
            <v>1.6819053489883916E-3</v>
          </cell>
          <cell r="I523">
            <v>1.5585343157736187E-3</v>
          </cell>
        </row>
        <row r="524">
          <cell r="A524" t="str">
            <v>RHEM-SHSTG-SOL</v>
          </cell>
          <cell r="B524" t="str">
            <v>VAR_ncap</v>
          </cell>
          <cell r="C524" t="str">
            <v>-</v>
          </cell>
          <cell r="D524">
            <v>1.5060263636662701E-2</v>
          </cell>
          <cell r="E524">
            <v>1.0388799474363301E-3</v>
          </cell>
          <cell r="F524">
            <v>1.01891268845349E-6</v>
          </cell>
          <cell r="G524">
            <v>1.60345114346705E-6</v>
          </cell>
          <cell r="H524">
            <v>1.7279804510083799E-4</v>
          </cell>
          <cell r="I524">
            <v>1.12967281508477E-4</v>
          </cell>
        </row>
        <row r="525">
          <cell r="A525" t="str">
            <v>RHEM-SHSTG-SOL</v>
          </cell>
          <cell r="B525" t="str">
            <v>VAR_cap</v>
          </cell>
          <cell r="C525" t="str">
            <v>-</v>
          </cell>
          <cell r="D525">
            <v>1.5060263636662701E-2</v>
          </cell>
          <cell r="E525">
            <v>1.6099143584099002E-2</v>
          </cell>
          <cell r="F525">
            <v>1.6100162496787501E-2</v>
          </cell>
          <cell r="G525">
            <v>1.6101765947930901E-2</v>
          </cell>
          <cell r="H525">
            <v>4.2158155686145102E-4</v>
          </cell>
          <cell r="I525">
            <v>3.4306713559666499E-4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ITOT-ELS</v>
          </cell>
          <cell r="I526">
            <v>3.6472049263856353E-5</v>
          </cell>
        </row>
        <row r="527">
          <cell r="A527" t="str">
            <v>ITOT-SWHCONBR10</v>
          </cell>
          <cell r="B527" t="str">
            <v>VAR_fout</v>
          </cell>
          <cell r="C527" t="str">
            <v>ITOT-SWHC</v>
          </cell>
          <cell r="I527">
            <v>2.2459867936226212E-4</v>
          </cell>
        </row>
        <row r="528">
          <cell r="A528" t="str">
            <v>ITOT-SWHCONBR10</v>
          </cell>
          <cell r="B528" t="str">
            <v>VAR_fin</v>
          </cell>
          <cell r="C528" t="str">
            <v>CON</v>
          </cell>
          <cell r="I528">
            <v>2.6107072862611861E-4</v>
          </cell>
        </row>
        <row r="529">
          <cell r="A529" t="str">
            <v>ITOT-SWHCONBR10</v>
          </cell>
          <cell r="B529" t="str">
            <v>VAR_ncap</v>
          </cell>
          <cell r="C529" t="str">
            <v>-</v>
          </cell>
          <cell r="I529">
            <v>9.6343548079395998E-6</v>
          </cell>
        </row>
        <row r="530">
          <cell r="A530" t="str">
            <v>ITOT-SWHCONBR10</v>
          </cell>
          <cell r="B530" t="str">
            <v>VAR_cap</v>
          </cell>
          <cell r="C530" t="str">
            <v>-</v>
          </cell>
          <cell r="I530">
            <v>9.6343548079395998E-6</v>
          </cell>
        </row>
        <row r="531">
          <cell r="A531" t="str">
            <v>SCOM-SHSTG</v>
          </cell>
          <cell r="B531" t="str">
            <v>VAR_fout</v>
          </cell>
          <cell r="C531" t="str">
            <v>AUX_SCOM-SHSTG_OUT</v>
          </cell>
          <cell r="D531">
            <v>5.243009218017312E-5</v>
          </cell>
          <cell r="E531">
            <v>9.1933655867724973E-4</v>
          </cell>
          <cell r="F531">
            <v>1.5204152958959457E-4</v>
          </cell>
          <cell r="G531">
            <v>1.3836643570343349E-4</v>
          </cell>
          <cell r="H531">
            <v>2.7335102149302694E-4</v>
          </cell>
          <cell r="I531">
            <v>7.1853519804742005E-3</v>
          </cell>
        </row>
        <row r="532">
          <cell r="A532" t="str">
            <v>SCOM-SHSTG</v>
          </cell>
          <cell r="B532" t="str">
            <v>VAR_fout</v>
          </cell>
          <cell r="C532" t="str">
            <v>SCOM-SHD</v>
          </cell>
          <cell r="D532">
            <v>5.2430092180173194E-5</v>
          </cell>
          <cell r="E532">
            <v>9.200879959665912E-4</v>
          </cell>
          <cell r="F532">
            <v>1.5223570778830404E-4</v>
          </cell>
          <cell r="G532">
            <v>1.3836643570343325E-4</v>
          </cell>
          <cell r="H532">
            <v>2.7335102149302656E-4</v>
          </cell>
          <cell r="I532">
            <v>7.1853519804742005E-3</v>
          </cell>
        </row>
        <row r="533">
          <cell r="A533" t="str">
            <v>SCOM-SHSTG</v>
          </cell>
          <cell r="B533" t="str">
            <v>VAR_fin</v>
          </cell>
          <cell r="C533" t="str">
            <v>AUX_SCOM-SHSTG_IN</v>
          </cell>
          <cell r="D533">
            <v>6.670141656322735E-5</v>
          </cell>
          <cell r="E533">
            <v>1.1219609302638366E-3</v>
          </cell>
          <cell r="F533">
            <v>1.8357891605828364E-4</v>
          </cell>
          <cell r="G533">
            <v>1.6121504689442439E-4</v>
          </cell>
          <cell r="H533">
            <v>2.9608428238062838E-4</v>
          </cell>
          <cell r="I533">
            <v>7.258385855942795E-3</v>
          </cell>
        </row>
        <row r="534">
          <cell r="A534" t="str">
            <v>SCOM-SHSTG</v>
          </cell>
          <cell r="B534" t="str">
            <v>VAR_fin</v>
          </cell>
          <cell r="C534" t="str">
            <v>SCOM-SHD</v>
          </cell>
          <cell r="D534">
            <v>6.670141656322735E-5</v>
          </cell>
          <cell r="E534">
            <v>1.1219609302638366E-3</v>
          </cell>
          <cell r="F534">
            <v>1.8357891605828364E-4</v>
          </cell>
          <cell r="G534">
            <v>1.6121504689442439E-4</v>
          </cell>
          <cell r="H534">
            <v>2.9608428238062838E-4</v>
          </cell>
          <cell r="I534">
            <v>7.258385855942795E-3</v>
          </cell>
        </row>
        <row r="535">
          <cell r="A535" t="str">
            <v>SCOM-SHSTG</v>
          </cell>
          <cell r="B535" t="str">
            <v>VAR_ncap</v>
          </cell>
          <cell r="C535" t="str">
            <v>-</v>
          </cell>
          <cell r="D535">
            <v>2.0687830582267301E-3</v>
          </cell>
          <cell r="E535">
            <v>1.52114234835794E-5</v>
          </cell>
          <cell r="F535">
            <v>1.3559441363335399E-5</v>
          </cell>
          <cell r="G535">
            <v>8.53660816161293E-6</v>
          </cell>
          <cell r="H535">
            <v>1.0335721870203601E-3</v>
          </cell>
          <cell r="I535">
            <v>1.2723028567403201E-3</v>
          </cell>
        </row>
        <row r="536">
          <cell r="A536" t="str">
            <v>SCOM-SHSTG</v>
          </cell>
          <cell r="B536" t="str">
            <v>VAR_cap</v>
          </cell>
          <cell r="C536" t="str">
            <v>-</v>
          </cell>
          <cell r="D536">
            <v>2.0687830582267301E-3</v>
          </cell>
          <cell r="E536">
            <v>2.0795958710585864E-3</v>
          </cell>
          <cell r="F536">
            <v>2.0874813865353016E-3</v>
          </cell>
          <cell r="G536">
            <v>2.0894900684649224E-3</v>
          </cell>
          <cell r="H536">
            <v>2.2606064667527255E-3</v>
          </cell>
          <cell r="I536">
            <v>2.6945664148156005E-3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ITOT_ELC</v>
          </cell>
          <cell r="H537">
            <v>0.16922175902368161</v>
          </cell>
          <cell r="I537">
            <v>0.15385246104999456</v>
          </cell>
        </row>
        <row r="538">
          <cell r="A538" t="str">
            <v>D-ITOT_KEV_HFC_ELC_CHP</v>
          </cell>
          <cell r="B538" t="str">
            <v>VAR_fout</v>
          </cell>
          <cell r="C538" t="str">
            <v>ELC5</v>
          </cell>
          <cell r="H538">
            <v>8.4951727797756338E-2</v>
          </cell>
          <cell r="I538">
            <v>4.7308415476231193E-2</v>
          </cell>
        </row>
        <row r="539">
          <cell r="A539" t="str">
            <v>D-ITOT_KEV_HFC_ELC_CHP</v>
          </cell>
          <cell r="B539" t="str">
            <v>VAR_fin</v>
          </cell>
          <cell r="C539" t="str">
            <v>ITOT_KEV_HFC_ELC_CHP</v>
          </cell>
          <cell r="H539">
            <v>0.2541486035545687</v>
          </cell>
          <cell r="I539">
            <v>0.20111958942757635</v>
          </cell>
        </row>
        <row r="540">
          <cell r="A540" t="str">
            <v>D-RNGA</v>
          </cell>
          <cell r="B540" t="str">
            <v>VAR_fout</v>
          </cell>
          <cell r="C540" t="str">
            <v>CO2</v>
          </cell>
          <cell r="D540">
            <v>2656.57187888419</v>
          </cell>
          <cell r="E540">
            <v>2625.7414995754498</v>
          </cell>
          <cell r="F540">
            <v>2616.3751255413599</v>
          </cell>
          <cell r="G540">
            <v>2145.7568428703198</v>
          </cell>
          <cell r="H540">
            <v>1073.49080144251</v>
          </cell>
          <cell r="I540">
            <v>649.645560739036</v>
          </cell>
        </row>
        <row r="541">
          <cell r="A541" t="str">
            <v>D-RNGA</v>
          </cell>
          <cell r="B541" t="str">
            <v>VAR_fout</v>
          </cell>
          <cell r="C541" t="str">
            <v>RNGA</v>
          </cell>
          <cell r="D541">
            <v>47.261137998623802</v>
          </cell>
          <cell r="E541">
            <v>48.283065451064765</v>
          </cell>
          <cell r="F541">
            <v>47.531743780597211</v>
          </cell>
          <cell r="G541">
            <v>39.458577483976285</v>
          </cell>
          <cell r="H541">
            <v>22.592027729819872</v>
          </cell>
          <cell r="I541">
            <v>15.57083850702357</v>
          </cell>
        </row>
        <row r="542">
          <cell r="A542" t="str">
            <v>D-RNGA</v>
          </cell>
          <cell r="B542" t="str">
            <v>VAR_fout</v>
          </cell>
          <cell r="C542" t="str">
            <v>RSH2</v>
          </cell>
          <cell r="G542">
            <v>1.3846060625595662E-2</v>
          </cell>
          <cell r="H542">
            <v>3.5502949079095812E-2</v>
          </cell>
          <cell r="I542">
            <v>5.0965989217334638E-3</v>
          </cell>
        </row>
        <row r="543">
          <cell r="A543" t="str">
            <v>D-RNGA</v>
          </cell>
          <cell r="B543" t="str">
            <v>VAR_fin</v>
          </cell>
          <cell r="C543" t="str">
            <v>NGA</v>
          </cell>
          <cell r="D543">
            <v>47.102338278088425</v>
          </cell>
          <cell r="E543">
            <v>46.555700347082336</v>
          </cell>
          <cell r="F543">
            <v>46.389629885485171</v>
          </cell>
          <cell r="G543">
            <v>38.045334093445334</v>
          </cell>
          <cell r="H543">
            <v>19.033524848271497</v>
          </cell>
          <cell r="I543">
            <v>11.518538310975808</v>
          </cell>
        </row>
        <row r="544">
          <cell r="A544" t="str">
            <v>D-RNGA</v>
          </cell>
          <cell r="B544" t="str">
            <v>VAR_fin</v>
          </cell>
          <cell r="C544" t="str">
            <v>BNGA</v>
          </cell>
          <cell r="D544">
            <v>0.30978107773988661</v>
          </cell>
          <cell r="E544">
            <v>1.8816111306440719</v>
          </cell>
          <cell r="F544">
            <v>1.2939597348483509</v>
          </cell>
          <cell r="G544">
            <v>1.5394782816008974</v>
          </cell>
          <cell r="H544">
            <v>3.6309080936934204</v>
          </cell>
          <cell r="I544">
            <v>4.1025930628518674</v>
          </cell>
        </row>
        <row r="545">
          <cell r="A545" t="str">
            <v>D-RNGA</v>
          </cell>
          <cell r="B545" t="str">
            <v>VAR_fin</v>
          </cell>
          <cell r="C545" t="str">
            <v>H2</v>
          </cell>
          <cell r="G545">
            <v>1.3843714873653032E-2</v>
          </cell>
          <cell r="H545">
            <v>3.5483115973850628E-2</v>
          </cell>
          <cell r="I545">
            <v>5.0862510578014997E-3</v>
          </cell>
        </row>
        <row r="546">
          <cell r="A546" t="str">
            <v>D-RNGA</v>
          </cell>
          <cell r="B546" t="str">
            <v>VAR_ncap</v>
          </cell>
          <cell r="C546" t="str">
            <v>-</v>
          </cell>
          <cell r="D546">
            <v>8.1970972132370504E-7</v>
          </cell>
          <cell r="E546">
            <v>2.2734900979806699E-7</v>
          </cell>
          <cell r="F546">
            <v>2.87489967801938E-7</v>
          </cell>
          <cell r="G546">
            <v>2.5767479866335803E-7</v>
          </cell>
          <cell r="H546">
            <v>5.2581215539379605E-7</v>
          </cell>
          <cell r="I546">
            <v>9.0406976129160396E-7</v>
          </cell>
        </row>
        <row r="547">
          <cell r="A547" t="str">
            <v>D-RNGA</v>
          </cell>
          <cell r="B547" t="str">
            <v>VAR_cap</v>
          </cell>
          <cell r="C547" t="str">
            <v>-</v>
          </cell>
          <cell r="D547">
            <v>3.0972408271056415</v>
          </cell>
          <cell r="E547">
            <v>3.0972410544546514</v>
          </cell>
          <cell r="F547">
            <v>3.0972413419446192</v>
          </cell>
          <cell r="G547">
            <v>3.0972415996194176</v>
          </cell>
          <cell r="H547">
            <v>3.097242529620305</v>
          </cell>
          <cell r="I547">
            <v>1.5532856743303662</v>
          </cell>
        </row>
        <row r="548">
          <cell r="A548" t="str">
            <v>RHNS-SHLTHCHPNGA</v>
          </cell>
          <cell r="B548" t="str">
            <v>VAR_fout</v>
          </cell>
          <cell r="C548" t="str">
            <v>RHNS-SHLTHC-NGA</v>
          </cell>
          <cell r="E548">
            <v>8.8344753210540595E-4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RHNSLTHCHPC</v>
          </cell>
          <cell r="E549">
            <v>8.8344753210540595E-4</v>
          </cell>
        </row>
        <row r="550">
          <cell r="A550" t="str">
            <v>RHNS-SHLTHCHPNGA</v>
          </cell>
          <cell r="B550" t="str">
            <v>VAR_fin</v>
          </cell>
          <cell r="C550" t="str">
            <v>RHNS_LTH_CHPNGA_ON</v>
          </cell>
          <cell r="E550">
            <v>8.9237124455091553E-4</v>
          </cell>
        </row>
        <row r="551">
          <cell r="A551" t="str">
            <v>RHNS-SHLTHCHPNGA</v>
          </cell>
          <cell r="B551" t="str">
            <v>VAR_ncap</v>
          </cell>
          <cell r="C551" t="str">
            <v>-</v>
          </cell>
          <cell r="E551">
            <v>7.9069806083567E-4</v>
          </cell>
          <cell r="F551">
            <v>4.2509252014841698E-4</v>
          </cell>
          <cell r="G551">
            <v>3.5257902860308702E-4</v>
          </cell>
          <cell r="H551">
            <v>1.4605526853478401E-4</v>
          </cell>
          <cell r="I551">
            <v>8.5024710479522506E-8</v>
          </cell>
        </row>
        <row r="552">
          <cell r="A552" t="str">
            <v>RHNS-SHLTHCHPNGA</v>
          </cell>
          <cell r="B552" t="str">
            <v>VAR_cap</v>
          </cell>
          <cell r="C552" t="str">
            <v>-</v>
          </cell>
          <cell r="E552">
            <v>7.9069806083567E-4</v>
          </cell>
          <cell r="F552">
            <v>6.5669666353025409E-4</v>
          </cell>
          <cell r="G552">
            <v>6.5138816210292302E-4</v>
          </cell>
          <cell r="H552">
            <v>2.9047961627221399E-4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ELC5</v>
          </cell>
          <cell r="D553">
            <v>0.95871256890899048</v>
          </cell>
          <cell r="E553">
            <v>1.1058061053909294</v>
          </cell>
          <cell r="F553">
            <v>1.1057453827892125</v>
          </cell>
          <cell r="G553">
            <v>1.1052447369626297</v>
          </cell>
          <cell r="H553">
            <v>0.55268329670156879</v>
          </cell>
          <cell r="I553">
            <v>0.55441850387652203</v>
          </cell>
        </row>
        <row r="554">
          <cell r="A554" t="str">
            <v>D-SCOM_KEV_BIO_ELC_CHP</v>
          </cell>
          <cell r="B554" t="str">
            <v>VAR_fout</v>
          </cell>
          <cell r="C554" t="str">
            <v>SCOM_ELC</v>
          </cell>
          <cell r="D554">
            <v>6.8279678177558735E-4</v>
          </cell>
          <cell r="E554">
            <v>2.6421134131622201E-4</v>
          </cell>
          <cell r="F554">
            <v>3.2871250710494717E-4</v>
          </cell>
          <cell r="G554">
            <v>8.493392347398305E-4</v>
          </cell>
          <cell r="H554">
            <v>0.55345737243927251</v>
          </cell>
          <cell r="I554">
            <v>0.5517092610448322</v>
          </cell>
        </row>
        <row r="555">
          <cell r="A555" t="str">
            <v>D-SCOM_KEV_BIO_ELC_CHP</v>
          </cell>
          <cell r="B555" t="str">
            <v>VAR_fin</v>
          </cell>
          <cell r="C555" t="str">
            <v>SCOM_KEV_BIO_ELC_CHP</v>
          </cell>
          <cell r="D555">
            <v>0.95939536569076544</v>
          </cell>
          <cell r="E555">
            <v>1.1060703167322454</v>
          </cell>
          <cell r="F555">
            <v>1.1060629396198327</v>
          </cell>
          <cell r="G555">
            <v>1.1060657494448614</v>
          </cell>
          <cell r="H555">
            <v>1.106084943625381</v>
          </cell>
          <cell r="I555">
            <v>1.1060832127743803</v>
          </cell>
        </row>
        <row r="556">
          <cell r="A556" t="str">
            <v>RHES-SHLTHCHPWOD</v>
          </cell>
          <cell r="B556" t="str">
            <v>VAR_ncap</v>
          </cell>
          <cell r="C556" t="str">
            <v>-</v>
          </cell>
          <cell r="G556">
            <v>1.8892887641503399E-4</v>
          </cell>
          <cell r="H556">
            <v>2.9181102987469902E-4</v>
          </cell>
          <cell r="I556">
            <v>1.0279192839690999E-4</v>
          </cell>
        </row>
        <row r="557">
          <cell r="A557" t="str">
            <v>RHES-SHLTHCHPWOD</v>
          </cell>
          <cell r="B557" t="str">
            <v>VAR_cap</v>
          </cell>
          <cell r="C557" t="str">
            <v>-</v>
          </cell>
          <cell r="G557">
            <v>1.8892887641503399E-4</v>
          </cell>
          <cell r="H557">
            <v>4.7456541302682399E-4</v>
          </cell>
          <cell r="I557">
            <v>1.9013563575282199E-4</v>
          </cell>
        </row>
        <row r="558">
          <cell r="A558" t="str">
            <v>RHES-SHSTG-NGAHP</v>
          </cell>
          <cell r="B558" t="str">
            <v>VAR_fout</v>
          </cell>
          <cell r="C558" t="str">
            <v>RHES-SHANGAH</v>
          </cell>
          <cell r="F558">
            <v>2.2698183464648095E-2</v>
          </cell>
          <cell r="G558">
            <v>2.0995880900923244E-2</v>
          </cell>
          <cell r="H558">
            <v>3.3982360302029523E-2</v>
          </cell>
          <cell r="I558">
            <v>0.21315115149101796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2.2788551608432312E-2</v>
          </cell>
          <cell r="G559">
            <v>2.1079483163303124E-2</v>
          </cell>
          <cell r="H559">
            <v>3.4027352909230549E-2</v>
          </cell>
          <cell r="I559">
            <v>0.21321183909016239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2.2256940452787299E-5</v>
          </cell>
          <cell r="E560">
            <v>2.9544330913673701E-5</v>
          </cell>
          <cell r="F560">
            <v>3.2702805660411297E-2</v>
          </cell>
          <cell r="G560">
            <v>4.7439308571806997E-2</v>
          </cell>
          <cell r="H560">
            <v>5.8814333965894701E-2</v>
          </cell>
          <cell r="I560">
            <v>5.5042706119592798E-2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2.2256940452787299E-5</v>
          </cell>
          <cell r="E561">
            <v>1.6962883267950958E-6</v>
          </cell>
          <cell r="F561">
            <v>3.2686157450697237E-2</v>
          </cell>
          <cell r="G561">
            <v>8.0101100526381447E-2</v>
          </cell>
          <cell r="H561">
            <v>0.11318721059511599</v>
          </cell>
          <cell r="I561">
            <v>0.10453453629217789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9.2489120200717044E-5</v>
          </cell>
          <cell r="F562">
            <v>1.8679800243188243E-3</v>
          </cell>
          <cell r="G562">
            <v>4.1760796350776182E-3</v>
          </cell>
          <cell r="H562">
            <v>5.4760545871879876E-3</v>
          </cell>
          <cell r="I562">
            <v>6.2188363268196418E-3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9.4064868887212396E-5</v>
          </cell>
          <cell r="F563">
            <v>1.8875591877290281E-3</v>
          </cell>
          <cell r="G563">
            <v>4.2285297012925899E-3</v>
          </cell>
          <cell r="H563">
            <v>5.394253397237465E-3</v>
          </cell>
          <cell r="I563">
            <v>6.0826699236305876E-3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1.7713459136689836E-4</v>
          </cell>
          <cell r="F564">
            <v>3.7555392120478515E-3</v>
          </cell>
          <cell r="G564">
            <v>8.4046093363702151E-3</v>
          </cell>
          <cell r="H564">
            <v>1.0870307984425464E-2</v>
          </cell>
          <cell r="I564">
            <v>1.2301506250450227E-2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213.78362700946099</v>
          </cell>
          <cell r="E565">
            <v>204.777404259245</v>
          </cell>
          <cell r="F565">
            <v>0.85652503223166498</v>
          </cell>
          <cell r="G565">
            <v>5.0946835602173703E-2</v>
          </cell>
          <cell r="H565">
            <v>7.7824578918368706E-2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2.7300414454018789</v>
          </cell>
          <cell r="E566">
            <v>2.6150309475515354</v>
          </cell>
          <cell r="F566">
            <v>1.0937922935104583E-2</v>
          </cell>
          <cell r="G566">
            <v>6.5059693603128485E-4</v>
          </cell>
          <cell r="H566">
            <v>9.9382880200032117E-4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2.7764107403826093</v>
          </cell>
          <cell r="E567">
            <v>2.6594468085616252</v>
          </cell>
          <cell r="F567">
            <v>1.112370171729435E-2</v>
          </cell>
          <cell r="G567">
            <v>6.6164721561264592E-4</v>
          </cell>
          <cell r="H567">
            <v>1.0107088171216715E-3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3.984890280832558E-4</v>
          </cell>
          <cell r="G568">
            <v>3.43034743472156E-4</v>
          </cell>
          <cell r="H568">
            <v>8.9077175023965149E-4</v>
          </cell>
          <cell r="I568">
            <v>2.9458525726956289E-3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3.984890280832558E-4</v>
          </cell>
          <cell r="G569">
            <v>3.43034743472156E-4</v>
          </cell>
          <cell r="H569">
            <v>8.9077175023965149E-4</v>
          </cell>
          <cell r="I569">
            <v>2.9458525726956289E-3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7.1135842778093404E-8</v>
          </cell>
          <cell r="E570">
            <v>1.4528508900758499E-7</v>
          </cell>
          <cell r="F570">
            <v>1.6523723706248901E-5</v>
          </cell>
          <cell r="G570">
            <v>4.9957336415167204E-7</v>
          </cell>
          <cell r="H570">
            <v>3.9616875069438199E-6</v>
          </cell>
          <cell r="I570">
            <v>1.4748097909771899E-4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7.1135842778093404E-8</v>
          </cell>
          <cell r="E571">
            <v>-7.8793505017152088E-7</v>
          </cell>
          <cell r="F571">
            <v>1.6571224328825475E-5</v>
          </cell>
          <cell r="G571">
            <v>1.7024591419720002E-5</v>
          </cell>
          <cell r="H571">
            <v>5.3544904635190848E-5</v>
          </cell>
          <cell r="I571">
            <v>2.0136371203321871E-4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0.40803653303898579</v>
          </cell>
          <cell r="E572">
            <v>0.47091889156823585</v>
          </cell>
          <cell r="F572">
            <v>9.5557653952443762E-3</v>
          </cell>
          <cell r="G572">
            <v>1.1392574616117252E-2</v>
          </cell>
          <cell r="H572">
            <v>1.0827185833248848E-2</v>
          </cell>
          <cell r="I572">
            <v>8.9210800229281104E-3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0.40803653303898579</v>
          </cell>
          <cell r="E573">
            <v>0.47091889156823585</v>
          </cell>
          <cell r="F573">
            <v>9.5557653952443762E-3</v>
          </cell>
          <cell r="G573">
            <v>1.1392574616117252E-2</v>
          </cell>
          <cell r="H573">
            <v>1.0827185833248848E-2</v>
          </cell>
          <cell r="I573">
            <v>8.9210800229281104E-3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4.5243202070281203E-5</v>
          </cell>
          <cell r="E574">
            <v>9.11298094133812E-3</v>
          </cell>
          <cell r="F574">
            <v>8.6902317307037304E-7</v>
          </cell>
          <cell r="G574">
            <v>1.5521526950479501E-6</v>
          </cell>
          <cell r="H574">
            <v>1.7843548128770299E-3</v>
          </cell>
          <cell r="I574">
            <v>1.6629064822643299E-4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5.9300164619108586E-2</v>
          </cell>
          <cell r="E575">
            <v>6.8412946719344933E-2</v>
          </cell>
          <cell r="F575">
            <v>6.8409112881023443E-2</v>
          </cell>
          <cell r="G575">
            <v>6.8408801065321212E-2</v>
          </cell>
          <cell r="H575">
            <v>1.7897161624218538E-3</v>
          </cell>
          <cell r="I575">
            <v>1.4629342037433474E-3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2.0711826280466299E-6</v>
          </cell>
          <cell r="H576">
            <v>0.68756427573193601</v>
          </cell>
          <cell r="I576">
            <v>0.46581068506918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2.0711826280466299E-6</v>
          </cell>
          <cell r="H577">
            <v>0.94903599577164532</v>
          </cell>
          <cell r="I577">
            <v>1.075398466745243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0.85062180112009067</v>
          </cell>
          <cell r="F578">
            <v>0.85062647302520566</v>
          </cell>
          <cell r="G578">
            <v>0.97004343489609457</v>
          </cell>
          <cell r="H578">
            <v>0.86905136480491019</v>
          </cell>
          <cell r="I578">
            <v>0.96991532974726802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4.0437289773582883</v>
          </cell>
          <cell r="F579">
            <v>4.0437511868973139</v>
          </cell>
          <cell r="G579">
            <v>4.6114415852265651</v>
          </cell>
          <cell r="H579">
            <v>4.1313403701232518</v>
          </cell>
          <cell r="I579">
            <v>4.6108325924852718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4.8943507784783762</v>
          </cell>
          <cell r="F580">
            <v>4.8943776599225233</v>
          </cell>
          <cell r="G580">
            <v>5.5814850201226598</v>
          </cell>
          <cell r="H580">
            <v>5.0003917349281597</v>
          </cell>
          <cell r="I580">
            <v>5.5807479222325407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0.26617903619320799</v>
          </cell>
          <cell r="F581">
            <v>4.9452624577379601E-6</v>
          </cell>
          <cell r="G581">
            <v>3.7356573693712002E-2</v>
          </cell>
          <cell r="H581">
            <v>0.11667144130083699</v>
          </cell>
          <cell r="I581">
            <v>0.16395910320208901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0.26617903619320799</v>
          </cell>
          <cell r="F582">
            <v>0.26618398145566502</v>
          </cell>
          <cell r="G582">
            <v>0.303540555149377</v>
          </cell>
          <cell r="H582">
            <v>0.27198953713485402</v>
          </cell>
          <cell r="I582">
            <v>0.30353753516953103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2.12423335421798E-4</v>
          </cell>
          <cell r="H583">
            <v>2.68954229342461E-4</v>
          </cell>
          <cell r="I583">
            <v>1.58991636588247E-4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2.12423335421798E-4</v>
          </cell>
          <cell r="H584">
            <v>3.7770725079810393E-4</v>
          </cell>
          <cell r="I584">
            <v>2.4359098542445698E-4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3.3727161147928527E-4</v>
          </cell>
          <cell r="E585">
            <v>4.5670937879823548E-4</v>
          </cell>
          <cell r="F585">
            <v>1.2303493741746375E-4</v>
          </cell>
          <cell r="G585">
            <v>8.001577856743654E-5</v>
          </cell>
          <cell r="H585">
            <v>8.6938770431594335E-5</v>
          </cell>
          <cell r="I585">
            <v>2.5432233377545753E-5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3.3727161147928527E-4</v>
          </cell>
          <cell r="E586">
            <v>4.5670937879823548E-4</v>
          </cell>
          <cell r="F586">
            <v>1.0667957715475567E-4</v>
          </cell>
          <cell r="G586">
            <v>9.8806599480651293E-5</v>
          </cell>
          <cell r="H586">
            <v>9.3944421512188347E-5</v>
          </cell>
          <cell r="I586">
            <v>2.5947031682039886E-5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3.52227687782779E-3</v>
          </cell>
          <cell r="E587">
            <v>2.7824175816362899E-5</v>
          </cell>
          <cell r="F587">
            <v>4.4064716563885498E-2</v>
          </cell>
          <cell r="G587">
            <v>7.8823304485434106E-2</v>
          </cell>
          <cell r="H587">
            <v>0.10813812835930101</v>
          </cell>
          <cell r="I587">
            <v>0.11874560908182399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3.52227687782779E-3</v>
          </cell>
          <cell r="E588">
            <v>3.1303890229070035E-5</v>
          </cell>
          <cell r="F588">
            <v>4.4081845138372031E-2</v>
          </cell>
          <cell r="G588">
            <v>0.12287649106727926</v>
          </cell>
          <cell r="H588">
            <v>0.20675245279461862</v>
          </cell>
          <cell r="I588">
            <v>0.21280524172211801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6.7217371531678527E-3</v>
          </cell>
          <cell r="H589">
            <v>0.88001555894062866</v>
          </cell>
          <cell r="I589">
            <v>0.88009743185901401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1.0390519290798405E-2</v>
          </cell>
          <cell r="H590">
            <v>1.3603356443454504</v>
          </cell>
          <cell r="I590">
            <v>1.3604622042091428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1.7112256443966259E-2</v>
          </cell>
          <cell r="H591">
            <v>2.2403512032860773</v>
          </cell>
          <cell r="I591">
            <v>2.2405596360681561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9.2841114002620002E-4</v>
          </cell>
          <cell r="H592">
            <v>3.0111295746101301E-4</v>
          </cell>
          <cell r="I592">
            <v>7.0488922336094606E-2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9.2841114002620002E-4</v>
          </cell>
          <cell r="H593">
            <v>0.12185782905189101</v>
          </cell>
          <cell r="I593">
            <v>0.12185707328053901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2.6532456893189723E-2</v>
          </cell>
          <cell r="E594">
            <v>1.1278753177798448</v>
          </cell>
          <cell r="F594">
            <v>0.87736723486695833</v>
          </cell>
          <cell r="G594">
            <v>2.6745752569830454</v>
          </cell>
          <cell r="H594">
            <v>4.7845236322113873</v>
          </cell>
          <cell r="I594">
            <v>6.4143263552454552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2.6532456893189723E-2</v>
          </cell>
          <cell r="E595">
            <v>1.1278753177798448</v>
          </cell>
          <cell r="F595">
            <v>0.87736723486695833</v>
          </cell>
          <cell r="G595">
            <v>2.6745752569830454</v>
          </cell>
          <cell r="H595">
            <v>4.7845236322113873</v>
          </cell>
          <cell r="I595">
            <v>6.4143263552454552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4.5551030911038702E-2</v>
          </cell>
          <cell r="E596">
            <v>4.5551029830307198E-2</v>
          </cell>
          <cell r="F596">
            <v>7.08947737394838E-7</v>
          </cell>
          <cell r="G596">
            <v>0.12510837163274599</v>
          </cell>
          <cell r="H596">
            <v>4.2659191253607801E-2</v>
          </cell>
          <cell r="I596">
            <v>0.17357165069601299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4.5551030911038702E-2</v>
          </cell>
          <cell r="E597">
            <v>9.110202943551951E-2</v>
          </cell>
          <cell r="F597">
            <v>9.1099404314327032E-2</v>
          </cell>
          <cell r="G597">
            <v>0.2162092780737461</v>
          </cell>
          <cell r="H597">
            <v>0.38656475158367049</v>
          </cell>
          <cell r="I597">
            <v>0.51821166231287996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7.2064090562903504E-3</v>
          </cell>
          <cell r="H598">
            <v>1.7935963505593575</v>
          </cell>
          <cell r="I598">
            <v>1.7246497470185289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1.4301527567239278E-2</v>
          </cell>
          <cell r="H599">
            <v>3.5594937022946191</v>
          </cell>
          <cell r="I599">
            <v>3.4226652564619529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2.1507936623529646E-2</v>
          </cell>
          <cell r="H600">
            <v>5.3530900528539753</v>
          </cell>
          <cell r="I600">
            <v>5.1473150034804798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1.16747522019819E-3</v>
          </cell>
          <cell r="H601">
            <v>3.3927750419763203E-2</v>
          </cell>
          <cell r="I601">
            <v>0.14684520718556399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1.16747522019819E-3</v>
          </cell>
          <cell r="H602">
            <v>0.29117076032446898</v>
          </cell>
          <cell r="I602">
            <v>0.27994284726737101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1.5085067439909823E-3</v>
          </cell>
          <cell r="H603">
            <v>0.26982261713032107</v>
          </cell>
          <cell r="I603">
            <v>0.27030478156686738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1.2988691547449463E-3</v>
          </cell>
          <cell r="H604">
            <v>0.22102219118171651</v>
          </cell>
          <cell r="I604">
            <v>0.19845462898630054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1.17230120874858E-4</v>
          </cell>
          <cell r="H605">
            <v>1.4466089150915301E-2</v>
          </cell>
          <cell r="I605">
            <v>6.4281328635879201E-5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1.17230120874858E-4</v>
          </cell>
          <cell r="H606">
            <v>1.4677147914303671E-2</v>
          </cell>
          <cell r="I606">
            <v>1.4699849799352918E-2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4.280044998602186</v>
          </cell>
          <cell r="E607">
            <v>4.488677154739098</v>
          </cell>
          <cell r="F607">
            <v>0.78600139069115127</v>
          </cell>
          <cell r="G607">
            <v>0.18558124648368621</v>
          </cell>
          <cell r="H607">
            <v>3.2338554077953937E-3</v>
          </cell>
          <cell r="I607">
            <v>1.7211614924018195E-3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4.5053105248444059</v>
          </cell>
          <cell r="E608">
            <v>4.724923320778001</v>
          </cell>
          <cell r="F608">
            <v>0.85669409388083317</v>
          </cell>
          <cell r="G608">
            <v>0.20227236195831214</v>
          </cell>
          <cell r="H608">
            <v>3.4867163165176198E-3</v>
          </cell>
          <cell r="I608">
            <v>1.8211061448271133E-3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1.7621434443877299E-7</v>
          </cell>
          <cell r="E609">
            <v>1.6910251007951099E-2</v>
          </cell>
          <cell r="F609">
            <v>3.8840911548779499E-7</v>
          </cell>
          <cell r="G609">
            <v>7.4860902627444295E-7</v>
          </cell>
          <cell r="H609">
            <v>3.8927618696447302E-4</v>
          </cell>
          <cell r="I609">
            <v>5.6062546466929697E-7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0.34576947609067743</v>
          </cell>
          <cell r="E610">
            <v>0.36267934648049133</v>
          </cell>
          <cell r="F610">
            <v>0.10955597938057798</v>
          </cell>
          <cell r="G610">
            <v>2.6821887381881238E-2</v>
          </cell>
          <cell r="H610">
            <v>3.9519870889405563E-4</v>
          </cell>
          <cell r="I610">
            <v>2.0085600167984991E-4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6.6447687422637252</v>
          </cell>
          <cell r="E611">
            <v>6.9687218536322559</v>
          </cell>
          <cell r="F611">
            <v>2.8218798596472254</v>
          </cell>
          <cell r="G611">
            <v>2.0132841535410164</v>
          </cell>
          <cell r="H611">
            <v>1.7265609687524126</v>
          </cell>
          <cell r="I611">
            <v>1.5551914374503015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8.4110996737515524</v>
          </cell>
          <cell r="E612">
            <v>8.7988912293336554</v>
          </cell>
          <cell r="F612">
            <v>6.0587236190502249</v>
          </cell>
          <cell r="G612">
            <v>4.149198432854428</v>
          </cell>
          <cell r="H612">
            <v>3.4215043629200221</v>
          </cell>
          <cell r="I612">
            <v>2.9943707445104311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2.9878504458125599E-5</v>
          </cell>
          <cell r="E613">
            <v>3.4653548670727299E-2</v>
          </cell>
          <cell r="F613">
            <v>7.27077205158911E-7</v>
          </cell>
          <cell r="G613">
            <v>1.27356700007318E-6</v>
          </cell>
          <cell r="H613">
            <v>0.12991788374669799</v>
          </cell>
          <cell r="I613">
            <v>1.40089882739918E-5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0.43759846727813512</v>
          </cell>
          <cell r="E614">
            <v>0.4722511089127</v>
          </cell>
          <cell r="F614">
            <v>0.32870821340434853</v>
          </cell>
          <cell r="G614">
            <v>0.2483782531896927</v>
          </cell>
          <cell r="H614">
            <v>0.19168328966301648</v>
          </cell>
          <cell r="I614">
            <v>0.12042487475183619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6.5822970296946597</v>
          </cell>
          <cell r="E615">
            <v>7.0678545756143443</v>
          </cell>
          <cell r="F615">
            <v>6.8330336680462613</v>
          </cell>
          <cell r="G615">
            <v>7.209055832787481</v>
          </cell>
          <cell r="H615">
            <v>6.2967431184455966</v>
          </cell>
          <cell r="I615">
            <v>7.4716054712651792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7.1200281690851011</v>
          </cell>
          <cell r="E616">
            <v>7.6289125416766659</v>
          </cell>
          <cell r="F616">
            <v>7.3518815578640213</v>
          </cell>
          <cell r="G616">
            <v>7.7153628548535256</v>
          </cell>
          <cell r="H616">
            <v>6.668320049494187</v>
          </cell>
          <cell r="I616">
            <v>7.8648478644896667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6.5822970296946597</v>
          </cell>
          <cell r="E617">
            <v>7.0678545756143443</v>
          </cell>
          <cell r="F617">
            <v>6.8330336680462613</v>
          </cell>
          <cell r="G617">
            <v>7.209055832787481</v>
          </cell>
          <cell r="H617">
            <v>6.2967431184455966</v>
          </cell>
          <cell r="I617">
            <v>7.4716054712651792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0.124140979731754</v>
          </cell>
          <cell r="F618">
            <v>0.179190435605732</v>
          </cell>
          <cell r="G618">
            <v>0.133982934892273</v>
          </cell>
          <cell r="H618">
            <v>0.26291257283309799</v>
          </cell>
          <cell r="I618">
            <v>0.492588164681795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0.54575575277573396</v>
          </cell>
          <cell r="F619">
            <v>0.58754095335325418</v>
          </cell>
          <cell r="G619">
            <v>0.52739363958836616</v>
          </cell>
          <cell r="H619">
            <v>0.49474469788852604</v>
          </cell>
          <cell r="I619">
            <v>0.70168020484510518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2.3239889672078188E-2</v>
          </cell>
          <cell r="E620">
            <v>0.82089485680895891</v>
          </cell>
          <cell r="F620">
            <v>0.60183584305924509</v>
          </cell>
          <cell r="G620">
            <v>0.82309387219496277</v>
          </cell>
          <cell r="H620">
            <v>2.9190599184029611</v>
          </cell>
          <cell r="I620">
            <v>4.668159389388709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2.3239889672078188E-2</v>
          </cell>
          <cell r="E621">
            <v>0.82089485680895891</v>
          </cell>
          <cell r="F621">
            <v>0.60183584305924509</v>
          </cell>
          <cell r="G621">
            <v>0.82309387219496277</v>
          </cell>
          <cell r="H621">
            <v>2.9190599184029611</v>
          </cell>
          <cell r="I621">
            <v>4.668159389388709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3.3150907159429102E-2</v>
          </cell>
          <cell r="E622">
            <v>3.3150907346331103E-2</v>
          </cell>
          <cell r="F622">
            <v>7.09260417736521E-7</v>
          </cell>
          <cell r="G622">
            <v>3.27679153200982E-4</v>
          </cell>
          <cell r="H622">
            <v>0.121114711815364</v>
          </cell>
          <cell r="I622">
            <v>0.171795429372883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3.3150907159429102E-2</v>
          </cell>
          <cell r="E623">
            <v>6.6301783491140437E-2</v>
          </cell>
          <cell r="F623">
            <v>6.6299220926751501E-2</v>
          </cell>
          <cell r="G623">
            <v>6.6628355459097927E-2</v>
          </cell>
          <cell r="H623">
            <v>0.23585784159460024</v>
          </cell>
          <cell r="I623">
            <v>0.37714153695167923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5.4976620317495666E-2</v>
          </cell>
          <cell r="I624">
            <v>2.3260949687148719E-2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0.59080836322732333</v>
          </cell>
          <cell r="I625">
            <v>0.24997468983017804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0.6457849835448185</v>
          </cell>
          <cell r="I626">
            <v>0.27323563951732677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8.8916384423579197E-7</v>
          </cell>
          <cell r="I627">
            <v>2.1682749471846899E-6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3.5123718096045697E-2</v>
          </cell>
          <cell r="I628">
            <v>1.48595823493272E-2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0.66028470911687687</v>
          </cell>
          <cell r="E629">
            <v>7.5037615921256309E-2</v>
          </cell>
          <cell r="F629">
            <v>4.7995622191534727E-2</v>
          </cell>
          <cell r="G629">
            <v>2.2560586009701098E-2</v>
          </cell>
          <cell r="H629">
            <v>0.63603920953412496</v>
          </cell>
          <cell r="I629">
            <v>0.58678438493213947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9.7392782524328651E-3</v>
          </cell>
          <cell r="E630">
            <v>5.488144848572866E-3</v>
          </cell>
          <cell r="F630">
            <v>4.7068884744834684E-3</v>
          </cell>
          <cell r="G630">
            <v>2.238626529151811E-3</v>
          </cell>
          <cell r="H630">
            <v>3.3989764381505798E-2</v>
          </cell>
          <cell r="I630">
            <v>8.3232904505597963E-2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0.67002398736930913</v>
          </cell>
          <cell r="E631">
            <v>8.0525760769829091E-2</v>
          </cell>
          <cell r="F631">
            <v>5.2666917697216598E-2</v>
          </cell>
          <cell r="G631">
            <v>2.4764086765531348E-2</v>
          </cell>
          <cell r="H631">
            <v>0.67002897391563077</v>
          </cell>
          <cell r="I631">
            <v>0.67001728943773731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2.3941043315386739</v>
          </cell>
          <cell r="E632">
            <v>0.19673329014584731</v>
          </cell>
          <cell r="F632">
            <v>0.52166185808401266</v>
          </cell>
          <cell r="G632">
            <v>0.30442562088005887</v>
          </cell>
          <cell r="H632">
            <v>0.21939898003925795</v>
          </cell>
          <cell r="I632">
            <v>0.15846944335532848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2.6236759797684126</v>
          </cell>
          <cell r="E633">
            <v>0.21500906026868549</v>
          </cell>
          <cell r="F633">
            <v>1.1042978198095503</v>
          </cell>
          <cell r="G633">
            <v>0.61615890676441787</v>
          </cell>
          <cell r="H633">
            <v>0.43223450283614701</v>
          </cell>
          <cell r="I633">
            <v>0.29920516174152789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5.7922579830487003E-6</v>
          </cell>
          <cell r="E634">
            <v>3.0151680465088202E-6</v>
          </cell>
          <cell r="F634">
            <v>7.2934185420262202E-3</v>
          </cell>
          <cell r="G634">
            <v>5.5652183052053101E-6</v>
          </cell>
          <cell r="H634">
            <v>1.550346044696E-2</v>
          </cell>
          <cell r="I634">
            <v>9.0983440858121703E-5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0.18499384060942506</v>
          </cell>
          <cell r="E635">
            <v>3.3428216354758539E-2</v>
          </cell>
          <cell r="F635">
            <v>4.0722195875852768E-2</v>
          </cell>
          <cell r="G635">
            <v>4.0618077012618992E-2</v>
          </cell>
          <cell r="H635">
            <v>3.2345093230914522E-2</v>
          </cell>
          <cell r="I635">
            <v>1.7916738672885662E-2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1.4644305723475594E-3</v>
          </cell>
          <cell r="E636">
            <v>0.67980313556658634</v>
          </cell>
          <cell r="F636">
            <v>0.49632469622984721</v>
          </cell>
          <cell r="G636">
            <v>0.67808000813765157</v>
          </cell>
          <cell r="H636">
            <v>0.67925701616007939</v>
          </cell>
          <cell r="I636">
            <v>1.8454434497139134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1.4644305723475594E-3</v>
          </cell>
          <cell r="E637">
            <v>0.67980313556658634</v>
          </cell>
          <cell r="F637">
            <v>0.49632469622984721</v>
          </cell>
          <cell r="G637">
            <v>0.67808000813765157</v>
          </cell>
          <cell r="H637">
            <v>0.67925701616007939</v>
          </cell>
          <cell r="I637">
            <v>1.8454434497139134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1.47975542796727E-4</v>
          </cell>
          <cell r="E638">
            <v>5.4755364628242202E-2</v>
          </cell>
          <cell r="F638">
            <v>2.0182220259973099E-7</v>
          </cell>
          <cell r="G638">
            <v>3.2540091496113E-7</v>
          </cell>
          <cell r="H638">
            <v>2.75665364942298E-7</v>
          </cell>
          <cell r="I638">
            <v>0.117359783681018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1.47975542796727E-4</v>
          </cell>
          <cell r="E639">
            <v>5.4903309126673336E-2</v>
          </cell>
          <cell r="F639">
            <v>5.4900235036417985E-2</v>
          </cell>
          <cell r="G639">
            <v>5.4902140999639346E-2</v>
          </cell>
          <cell r="H639">
            <v>5.4903586314108299E-2</v>
          </cell>
          <cell r="I639">
            <v>0.14908875023187443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1.0959455183187615E-3</v>
          </cell>
          <cell r="I640">
            <v>4.8021006422665807E-4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5.3754773936884733E-3</v>
          </cell>
          <cell r="I641">
            <v>2.3553710484003143E-3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6.4714229120072363E-3</v>
          </cell>
          <cell r="I642">
            <v>2.8355811126269722E-3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7.2192319319144404E-7</v>
          </cell>
          <cell r="I643">
            <v>4.1543391603483897E-6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3.4626526469720199E-4</v>
          </cell>
          <cell r="I644">
            <v>1.50841248286829E-4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3.8288336920780407E-7</v>
          </cell>
          <cell r="E645">
            <v>0.71084063055957969</v>
          </cell>
          <cell r="F645">
            <v>0.17262392416484243</v>
          </cell>
          <cell r="G645">
            <v>4.3946044308874221E-2</v>
          </cell>
          <cell r="H645">
            <v>3.0783915772193975E-4</v>
          </cell>
          <cell r="I645">
            <v>1.5599574839614237E-4</v>
          </cell>
        </row>
        <row r="646">
          <cell r="A646" t="str">
            <v>RHES-SHSTG-ELC</v>
          </cell>
          <cell r="B646" t="str">
            <v>VAR_fin</v>
          </cell>
          <cell r="C646" t="str">
            <v>RHES-SHAELCB</v>
          </cell>
          <cell r="D646">
            <v>5.9337366926063932E-5</v>
          </cell>
          <cell r="E646">
            <v>0.71087744343900117</v>
          </cell>
          <cell r="F646">
            <v>0.17262645352113321</v>
          </cell>
          <cell r="G646">
            <v>4.3947378834473215E-2</v>
          </cell>
          <cell r="H646">
            <v>3.1267009512209935E-4</v>
          </cell>
          <cell r="I646">
            <v>1.5856256933391674E-4</v>
          </cell>
        </row>
        <row r="647">
          <cell r="A647" t="str">
            <v>RHES-SHSTG-ELC</v>
          </cell>
          <cell r="B647" t="str">
            <v>VAR_ncap</v>
          </cell>
          <cell r="C647" t="str">
            <v>-</v>
          </cell>
          <cell r="D647">
            <v>3.2808321865675102E-2</v>
          </cell>
          <cell r="E647">
            <v>3.1255114699230001E-2</v>
          </cell>
          <cell r="F647">
            <v>2.16680427637016E-5</v>
          </cell>
          <cell r="G647">
            <v>3.4233691558335102E-5</v>
          </cell>
          <cell r="H647">
            <v>6.2685836750739403E-5</v>
          </cell>
          <cell r="I647">
            <v>3.0857133188330603E-5</v>
          </cell>
        </row>
        <row r="648">
          <cell r="A648" t="str">
            <v>RHES-SHSTG-ELC</v>
          </cell>
          <cell r="B648" t="str">
            <v>VAR_cap</v>
          </cell>
          <cell r="C648" t="str">
            <v>-</v>
          </cell>
          <cell r="D648">
            <v>3.2808321865675102E-2</v>
          </cell>
          <cell r="E648">
            <v>6.4002868673002797E-2</v>
          </cell>
          <cell r="F648">
            <v>1.9332057951465795E-2</v>
          </cell>
          <cell r="G648">
            <v>4.734963337196002E-3</v>
          </cell>
          <cell r="H648">
            <v>6.9407573612439904E-5</v>
          </cell>
          <cell r="I648">
            <v>4.7471151327243407E-5</v>
          </cell>
        </row>
        <row r="649">
          <cell r="A649" t="str">
            <v>RHES-SHCONBR4</v>
          </cell>
          <cell r="B649" t="str">
            <v>VAR_fout</v>
          </cell>
          <cell r="C649" t="str">
            <v>RHES-SHCON</v>
          </cell>
          <cell r="E649">
            <v>0.42685378554735165</v>
          </cell>
          <cell r="F649">
            <v>0.28174796856820122</v>
          </cell>
          <cell r="G649">
            <v>0.42523299906083034</v>
          </cell>
          <cell r="H649">
            <v>0.42633387320895239</v>
          </cell>
          <cell r="I649">
            <v>0.2466697038482713</v>
          </cell>
        </row>
        <row r="650">
          <cell r="A650" t="str">
            <v>RHES-SHCONBR4</v>
          </cell>
          <cell r="B650" t="str">
            <v>VAR_fin</v>
          </cell>
          <cell r="C650" t="str">
            <v>CON</v>
          </cell>
          <cell r="E650">
            <v>0.42685378554735165</v>
          </cell>
          <cell r="F650">
            <v>0.28174796856820122</v>
          </cell>
          <cell r="G650">
            <v>0.42523299906083034</v>
          </cell>
          <cell r="H650">
            <v>0.42633387320895239</v>
          </cell>
          <cell r="I650">
            <v>0.2466697038482713</v>
          </cell>
        </row>
        <row r="651">
          <cell r="A651" t="str">
            <v>RHES-SHCONBR4</v>
          </cell>
          <cell r="B651" t="str">
            <v>VAR_ncap</v>
          </cell>
          <cell r="C651" t="str">
            <v>-</v>
          </cell>
          <cell r="E651">
            <v>3.4468994914323398E-2</v>
          </cell>
          <cell r="F651">
            <v>1.9997604867277001E-7</v>
          </cell>
          <cell r="G651">
            <v>1.8855065855432799E-7</v>
          </cell>
          <cell r="H651">
            <v>1.39241510674156E-7</v>
          </cell>
          <cell r="I651">
            <v>7.82879774459468E-7</v>
          </cell>
        </row>
        <row r="652">
          <cell r="A652" t="str">
            <v>RHES-SHCONBR4</v>
          </cell>
          <cell r="B652" t="str">
            <v>VAR_cap</v>
          </cell>
          <cell r="C652" t="str">
            <v>-</v>
          </cell>
          <cell r="E652">
            <v>3.4468994914323398E-2</v>
          </cell>
          <cell r="F652">
            <v>3.4467751371567788E-2</v>
          </cell>
          <cell r="G652">
            <v>3.4468324447678743E-2</v>
          </cell>
          <cell r="H652">
            <v>3.4469063221006971E-2</v>
          </cell>
          <cell r="I652">
            <v>1.9927675581450248E-2</v>
          </cell>
        </row>
        <row r="653">
          <cell r="A653" t="str">
            <v>ITOT-SWHCONBR6</v>
          </cell>
          <cell r="B653" t="str">
            <v>VAR_fout</v>
          </cell>
          <cell r="C653" t="str">
            <v>ITOT-SWHC</v>
          </cell>
          <cell r="H653">
            <v>9.3763977988121114E-4</v>
          </cell>
          <cell r="I653">
            <v>8.0767944430726313E-4</v>
          </cell>
        </row>
        <row r="654">
          <cell r="A654" t="str">
            <v>ITOT-SWHCONBR6</v>
          </cell>
          <cell r="B654" t="str">
            <v>VAR_fin</v>
          </cell>
          <cell r="C654" t="str">
            <v>CON</v>
          </cell>
          <cell r="H654">
            <v>9.3763977988121114E-4</v>
          </cell>
          <cell r="I654">
            <v>8.0767944430726313E-4</v>
          </cell>
        </row>
        <row r="655">
          <cell r="A655" t="str">
            <v>ITOT-SWHCONBR6</v>
          </cell>
          <cell r="B655" t="str">
            <v>VAR_ncap</v>
          </cell>
          <cell r="C655" t="str">
            <v>-</v>
          </cell>
          <cell r="H655">
            <v>4.3454661364905001E-5</v>
          </cell>
          <cell r="I655">
            <v>8.2213123311997705E-6</v>
          </cell>
        </row>
        <row r="656">
          <cell r="A656" t="str">
            <v>ITOT-SWHCONBR6</v>
          </cell>
          <cell r="B656" t="str">
            <v>VAR_cap</v>
          </cell>
          <cell r="C656" t="str">
            <v>-</v>
          </cell>
          <cell r="H656">
            <v>4.3454661364905001E-5</v>
          </cell>
          <cell r="I656">
            <v>3.9757816852378997E-5</v>
          </cell>
        </row>
        <row r="657">
          <cell r="A657" t="str">
            <v>RHNM-SHNGAHP</v>
          </cell>
          <cell r="B657" t="str">
            <v>VAR_fout</v>
          </cell>
          <cell r="C657" t="str">
            <v>CO2_R</v>
          </cell>
          <cell r="F657">
            <v>7.8815231510654096</v>
          </cell>
          <cell r="G657">
            <v>21.015461526350201</v>
          </cell>
          <cell r="H657">
            <v>35.778332976241202</v>
          </cell>
          <cell r="I657">
            <v>40.8137615544547</v>
          </cell>
        </row>
        <row r="658">
          <cell r="A658" t="str">
            <v>RHNM-SHNGAHP</v>
          </cell>
          <cell r="B658" t="str">
            <v>VAR_fout</v>
          </cell>
          <cell r="C658" t="str">
            <v>RHNM-SHANGAH</v>
          </cell>
          <cell r="F658">
            <v>0.26991714013750745</v>
          </cell>
          <cell r="G658">
            <v>0.74600323360407361</v>
          </cell>
          <cell r="H658">
            <v>1.3052367038859809</v>
          </cell>
          <cell r="I658">
            <v>1.5350277828903618</v>
          </cell>
        </row>
        <row r="659">
          <cell r="A659" t="str">
            <v>RHNM-SHNGAHP</v>
          </cell>
          <cell r="B659" t="str">
            <v>VAR_fin</v>
          </cell>
          <cell r="C659" t="str">
            <v>RNGA</v>
          </cell>
          <cell r="F659">
            <v>0.13974331828130146</v>
          </cell>
          <cell r="G659">
            <v>0.37261456607003796</v>
          </cell>
          <cell r="H659">
            <v>0.63436760596172337</v>
          </cell>
          <cell r="I659">
            <v>0.72364825451160819</v>
          </cell>
        </row>
        <row r="660">
          <cell r="A660" t="str">
            <v>RHNM-SHNGAHP</v>
          </cell>
          <cell r="B660" t="str">
            <v>VAR_fin</v>
          </cell>
          <cell r="C660" t="str">
            <v>RHNMELCHPC</v>
          </cell>
          <cell r="F660">
            <v>0.26991714013750745</v>
          </cell>
          <cell r="G660">
            <v>0.74600323360407361</v>
          </cell>
          <cell r="H660">
            <v>1.3052367038859809</v>
          </cell>
          <cell r="I660">
            <v>1.5350277828903618</v>
          </cell>
        </row>
        <row r="661">
          <cell r="A661" t="str">
            <v>RHNM-SHNGAHP</v>
          </cell>
          <cell r="B661" t="str">
            <v>VAR_ncap</v>
          </cell>
          <cell r="C661" t="str">
            <v>-</v>
          </cell>
          <cell r="E661">
            <v>2.7898015714132401E-6</v>
          </cell>
          <cell r="F661">
            <v>2.11175801871002E-2</v>
          </cell>
          <cell r="G661">
            <v>3.68597194549048E-2</v>
          </cell>
          <cell r="H661">
            <v>5.0630078854372797E-2</v>
          </cell>
          <cell r="I661">
            <v>7.2803771979928197E-2</v>
          </cell>
        </row>
        <row r="662">
          <cell r="A662" t="str">
            <v>RHNM-SHNGAHP</v>
          </cell>
          <cell r="B662" t="str">
            <v>VAR_cap</v>
          </cell>
          <cell r="C662" t="str">
            <v>-</v>
          </cell>
          <cell r="E662">
            <v>2.7898015714132401E-6</v>
          </cell>
          <cell r="F662">
            <v>2.1119919594084383E-2</v>
          </cell>
          <cell r="G662">
            <v>5.7979389765974068E-2</v>
          </cell>
          <cell r="H662">
            <v>0.10325178622963689</v>
          </cell>
          <cell r="I662">
            <v>0.1195755068776401</v>
          </cell>
        </row>
        <row r="663">
          <cell r="A663" t="str">
            <v>D-SCOM_KEV_WOD_ELC_CHP</v>
          </cell>
          <cell r="B663" t="str">
            <v>VAR_fout</v>
          </cell>
          <cell r="C663" t="str">
            <v>ELC5</v>
          </cell>
          <cell r="G663">
            <v>6.9758976494884546E-4</v>
          </cell>
          <cell r="H663">
            <v>1.0289828140146486E-3</v>
          </cell>
          <cell r="I663">
            <v>8.2493585847336461E-4</v>
          </cell>
        </row>
        <row r="664">
          <cell r="A664" t="str">
            <v>D-SCOM_KEV_WOD_ELC_CHP</v>
          </cell>
          <cell r="B664" t="str">
            <v>VAR_fout</v>
          </cell>
          <cell r="C664" t="str">
            <v>SCOM_ELC</v>
          </cell>
          <cell r="G664">
            <v>4.2681737506657346E-4</v>
          </cell>
          <cell r="H664">
            <v>1.02950726314507E-3</v>
          </cell>
          <cell r="I664">
            <v>8.2471680895607755E-4</v>
          </cell>
        </row>
        <row r="665">
          <cell r="A665" t="str">
            <v>D-SCOM_KEV_WOD_ELC_CHP</v>
          </cell>
          <cell r="B665" t="str">
            <v>VAR_fin</v>
          </cell>
          <cell r="C665" t="str">
            <v>SCOM_KEV_WOD_ELC_CHP</v>
          </cell>
          <cell r="G665">
            <v>1.0964030320830176E-3</v>
          </cell>
          <cell r="H665">
            <v>1.9962304221375592E-3</v>
          </cell>
          <cell r="I665">
            <v>1.6067632790507575E-3</v>
          </cell>
        </row>
        <row r="666">
          <cell r="A666" t="str">
            <v>RHES-SHCONBR5</v>
          </cell>
          <cell r="B666" t="str">
            <v>VAR_fout</v>
          </cell>
          <cell r="C666" t="str">
            <v>RHES-SHCON</v>
          </cell>
          <cell r="E666">
            <v>1.6849145434944895E-3</v>
          </cell>
          <cell r="F666">
            <v>8.9027249672891267E-4</v>
          </cell>
          <cell r="G666">
            <v>1.1352305597085203E-3</v>
          </cell>
          <cell r="H666">
            <v>1.4405967641670768E-3</v>
          </cell>
          <cell r="I666">
            <v>9.2085971877169874E-4</v>
          </cell>
        </row>
        <row r="667">
          <cell r="A667" t="str">
            <v>RHES-SHCONBR5</v>
          </cell>
          <cell r="B667" t="str">
            <v>VAR_fin</v>
          </cell>
          <cell r="C667" t="str">
            <v>CON</v>
          </cell>
          <cell r="E667">
            <v>1.6849145434944895E-3</v>
          </cell>
          <cell r="F667">
            <v>8.9027249672891267E-4</v>
          </cell>
          <cell r="G667">
            <v>1.1352305597085203E-3</v>
          </cell>
          <cell r="H667">
            <v>1.4405967641670768E-3</v>
          </cell>
          <cell r="I667">
            <v>9.2085971877169874E-4</v>
          </cell>
        </row>
        <row r="668">
          <cell r="A668" t="str">
            <v>RHES-SHCONBR5</v>
          </cell>
          <cell r="B668" t="str">
            <v>VAR_ncap</v>
          </cell>
          <cell r="C668" t="str">
            <v>-</v>
          </cell>
          <cell r="E668">
            <v>1.20562483214475E-4</v>
          </cell>
          <cell r="F668">
            <v>2.4259750409834901E-7</v>
          </cell>
          <cell r="G668">
            <v>1.6259312775874701E-7</v>
          </cell>
          <cell r="H668">
            <v>1.06045088831541E-7</v>
          </cell>
          <cell r="I668">
            <v>2.7994549473812301E-7</v>
          </cell>
        </row>
        <row r="669">
          <cell r="A669" t="str">
            <v>RHES-SHCONBR5</v>
          </cell>
          <cell r="B669" t="str">
            <v>VAR_cap</v>
          </cell>
          <cell r="C669" t="str">
            <v>-</v>
          </cell>
          <cell r="E669">
            <v>1.20562483214475E-4</v>
          </cell>
          <cell r="F669">
            <v>1.2049166673882562E-4</v>
          </cell>
          <cell r="G669">
            <v>1.204706662028035E-4</v>
          </cell>
          <cell r="H669">
            <v>1.2069260781370101E-4</v>
          </cell>
          <cell r="I669">
            <v>7.0283111059771274E-5</v>
          </cell>
        </row>
        <row r="670">
          <cell r="A670" t="str">
            <v>RHNS-SHCONBR</v>
          </cell>
          <cell r="B670" t="str">
            <v>VAR_fout</v>
          </cell>
          <cell r="C670" t="str">
            <v>RHNS-SHCON</v>
          </cell>
          <cell r="F670">
            <v>3.7309368395951879E-3</v>
          </cell>
          <cell r="G670">
            <v>3.6319149233709747E-3</v>
          </cell>
          <cell r="H670">
            <v>1.0111219995153553E-2</v>
          </cell>
          <cell r="I670">
            <v>1.0201815616448421E-2</v>
          </cell>
        </row>
        <row r="671">
          <cell r="A671" t="str">
            <v>RHNS-SHCONBR</v>
          </cell>
          <cell r="B671" t="str">
            <v>VAR_fin</v>
          </cell>
          <cell r="C671" t="str">
            <v>CON</v>
          </cell>
          <cell r="F671">
            <v>3.7309368395951879E-3</v>
          </cell>
          <cell r="G671">
            <v>3.6319149233709747E-3</v>
          </cell>
          <cell r="H671">
            <v>1.0111219995153553E-2</v>
          </cell>
          <cell r="I671">
            <v>1.0201815616448421E-2</v>
          </cell>
        </row>
        <row r="672">
          <cell r="A672" t="str">
            <v>RHNS-SHCONBR</v>
          </cell>
          <cell r="B672" t="str">
            <v>VAR_ncap</v>
          </cell>
          <cell r="C672" t="str">
            <v>-</v>
          </cell>
          <cell r="E672">
            <v>1.2119268452411001E-7</v>
          </cell>
          <cell r="F672">
            <v>2.5464916504236001E-4</v>
          </cell>
          <cell r="G672">
            <v>3.3365054510598298E-7</v>
          </cell>
          <cell r="H672">
            <v>4.0462506799396499E-4</v>
          </cell>
          <cell r="I672">
            <v>9.4359609774061406E-6</v>
          </cell>
        </row>
        <row r="673">
          <cell r="A673" t="str">
            <v>RHNS-SHCONBR</v>
          </cell>
          <cell r="B673" t="str">
            <v>VAR_cap</v>
          </cell>
          <cell r="C673" t="str">
            <v>-</v>
          </cell>
          <cell r="E673">
            <v>1.2119268452411001E-7</v>
          </cell>
          <cell r="F673">
            <v>2.5470214472066057E-4</v>
          </cell>
          <cell r="G673">
            <v>2.5497660531443217E-4</v>
          </cell>
          <cell r="H673">
            <v>7.2474163730540538E-4</v>
          </cell>
          <cell r="I673">
            <v>7.3436607687300749E-4</v>
          </cell>
        </row>
        <row r="674">
          <cell r="A674" t="str">
            <v>D-RHEM_SOLELC</v>
          </cell>
          <cell r="B674" t="str">
            <v>VAR_fout</v>
          </cell>
          <cell r="C674" t="str">
            <v>ELC5</v>
          </cell>
          <cell r="D674">
            <v>0.41691762458457343</v>
          </cell>
          <cell r="E674">
            <v>0.66890890869525865</v>
          </cell>
          <cell r="F674">
            <v>0.93876474876797678</v>
          </cell>
          <cell r="G674">
            <v>2.6734887356026684</v>
          </cell>
          <cell r="H674">
            <v>2.753979944004854</v>
          </cell>
          <cell r="I674">
            <v>2.9395230156170529</v>
          </cell>
        </row>
        <row r="675">
          <cell r="A675" t="str">
            <v>D-RHEM_SOLELC</v>
          </cell>
          <cell r="B675" t="str">
            <v>VAR_fout</v>
          </cell>
          <cell r="C675" t="str">
            <v>RHEM_ELC</v>
          </cell>
          <cell r="D675">
            <v>0.44556560120127475</v>
          </cell>
          <cell r="E675">
            <v>0.61868494743134872</v>
          </cell>
          <cell r="F675">
            <v>0.82738371436640079</v>
          </cell>
          <cell r="G675">
            <v>2.2206723484402016</v>
          </cell>
          <cell r="H675">
            <v>2.980137990665181</v>
          </cell>
          <cell r="I675">
            <v>3.4732087044147515</v>
          </cell>
        </row>
        <row r="676">
          <cell r="A676" t="str">
            <v>D-RHEM_SOLELC</v>
          </cell>
          <cell r="B676" t="str">
            <v>VAR_fin</v>
          </cell>
          <cell r="C676" t="str">
            <v>RHEM_SOL_ELC</v>
          </cell>
          <cell r="D676">
            <v>0.86248322578584768</v>
          </cell>
          <cell r="E676">
            <v>1.2875839973337093</v>
          </cell>
          <cell r="F676">
            <v>1.7661484631343785</v>
          </cell>
          <cell r="G676">
            <v>4.8941610840428726</v>
          </cell>
          <cell r="H676">
            <v>5.7341179346700342</v>
          </cell>
          <cell r="I676">
            <v>6.4127317200318084</v>
          </cell>
        </row>
        <row r="677">
          <cell r="A677" t="str">
            <v>ITOT-SWHCONBR7</v>
          </cell>
          <cell r="B677" t="str">
            <v>VAR_fout</v>
          </cell>
          <cell r="C677" t="str">
            <v>ITOT-ELS</v>
          </cell>
          <cell r="H677">
            <v>0.4045269954935381</v>
          </cell>
          <cell r="I677">
            <v>0.40454768224330939</v>
          </cell>
        </row>
        <row r="678">
          <cell r="A678" t="str">
            <v>ITOT-SWHCONBR7</v>
          </cell>
          <cell r="B678" t="str">
            <v>VAR_fout</v>
          </cell>
          <cell r="C678" t="str">
            <v>ITOT-SWHC</v>
          </cell>
          <cell r="H678">
            <v>7.0540467293182751E-2</v>
          </cell>
          <cell r="I678">
            <v>7.0544074600017381E-2</v>
          </cell>
        </row>
        <row r="679">
          <cell r="A679" t="str">
            <v>ITOT-SWHCONBR7</v>
          </cell>
          <cell r="B679" t="str">
            <v>VAR_fin</v>
          </cell>
          <cell r="C679" t="str">
            <v>CON</v>
          </cell>
          <cell r="H679">
            <v>0.47506746278672074</v>
          </cell>
          <cell r="I679">
            <v>0.47509175684332683</v>
          </cell>
        </row>
        <row r="680">
          <cell r="A680" t="str">
            <v>ITOT-SWHCONBR7</v>
          </cell>
          <cell r="B680" t="str">
            <v>VAR_ncap</v>
          </cell>
          <cell r="C680" t="str">
            <v>-</v>
          </cell>
          <cell r="H680">
            <v>2.58383606837836E-2</v>
          </cell>
          <cell r="I680">
            <v>7.0868324696730196E-3</v>
          </cell>
        </row>
        <row r="681">
          <cell r="A681" t="str">
            <v>ITOT-SWHCONBR7</v>
          </cell>
          <cell r="B681" t="str">
            <v>VAR_cap</v>
          </cell>
          <cell r="C681" t="str">
            <v>-</v>
          </cell>
          <cell r="H681">
            <v>2.58383606837836E-2</v>
          </cell>
          <cell r="I681">
            <v>2.5838597019887499E-2</v>
          </cell>
        </row>
        <row r="682">
          <cell r="A682" t="str">
            <v>RHNS-SHSTG-ELCHP</v>
          </cell>
          <cell r="B682" t="str">
            <v>VAR_fout</v>
          </cell>
          <cell r="C682" t="str">
            <v>RHNS-SHAELCH</v>
          </cell>
          <cell r="E682">
            <v>2.2691917411317912E-3</v>
          </cell>
          <cell r="F682">
            <v>0.13433240933791937</v>
          </cell>
          <cell r="G682">
            <v>0.27761938955207982</v>
          </cell>
          <cell r="H682">
            <v>0.31084707497804437</v>
          </cell>
          <cell r="I682">
            <v>0.39364662989393734</v>
          </cell>
        </row>
        <row r="683">
          <cell r="A683" t="str">
            <v>RHNS-SHSTG-ELCHP</v>
          </cell>
          <cell r="B683" t="str">
            <v>VAR_fin</v>
          </cell>
          <cell r="C683" t="str">
            <v>RHNS-SHAELCH</v>
          </cell>
          <cell r="E683">
            <v>2.3005236748948085E-3</v>
          </cell>
          <cell r="F683">
            <v>0.13434293934496622</v>
          </cell>
          <cell r="G683">
            <v>0.27765129532458921</v>
          </cell>
          <cell r="H683">
            <v>0.31089223685650497</v>
          </cell>
          <cell r="I683">
            <v>0.3936931576383626</v>
          </cell>
        </row>
        <row r="684">
          <cell r="A684" t="str">
            <v>RHNS-SHSTG-ELCHP</v>
          </cell>
          <cell r="B684" t="str">
            <v>VAR_ncap</v>
          </cell>
          <cell r="C684" t="str">
            <v>-</v>
          </cell>
          <cell r="D684">
            <v>8.8982119291162299E-5</v>
          </cell>
          <cell r="E684">
            <v>4.1042662834060099E-4</v>
          </cell>
          <cell r="F684">
            <v>1.3695841346822101E-2</v>
          </cell>
          <cell r="G684">
            <v>7.3551756669612304E-3</v>
          </cell>
          <cell r="H684">
            <v>1.90221953132148E-2</v>
          </cell>
          <cell r="I684">
            <v>2.4331505058447798E-2</v>
          </cell>
        </row>
        <row r="685">
          <cell r="A685" t="str">
            <v>RHNS-SHSTG-ELCHP</v>
          </cell>
          <cell r="B685" t="str">
            <v>VAR_cap</v>
          </cell>
          <cell r="C685" t="str">
            <v>-</v>
          </cell>
          <cell r="D685">
            <v>8.8982119291162299E-5</v>
          </cell>
          <cell r="E685">
            <v>4.7250215322546722E-4</v>
          </cell>
          <cell r="F685">
            <v>1.4137741542956824E-2</v>
          </cell>
          <cell r="G685">
            <v>2.1461987561727413E-2</v>
          </cell>
          <cell r="H685">
            <v>3.3062656915888507E-2</v>
          </cell>
          <cell r="I685">
            <v>4.0891068024400297E-2</v>
          </cell>
        </row>
        <row r="686">
          <cell r="A686" t="str">
            <v>RHNS-SHSOLBR</v>
          </cell>
          <cell r="B686" t="str">
            <v>VAR_fout</v>
          </cell>
          <cell r="C686" t="str">
            <v>RHNS-SHASOL</v>
          </cell>
          <cell r="E686">
            <v>1.3426425850938672E-2</v>
          </cell>
          <cell r="F686">
            <v>7.7962068104035564E-5</v>
          </cell>
          <cell r="G686">
            <v>3.6513188416565078E-4</v>
          </cell>
          <cell r="H686">
            <v>3.7493622928314019E-4</v>
          </cell>
          <cell r="I686">
            <v>6.7206276013620492E-4</v>
          </cell>
        </row>
        <row r="687">
          <cell r="A687" t="str">
            <v>RHNS-SHSOLBR</v>
          </cell>
          <cell r="B687" t="str">
            <v>VAR_fin</v>
          </cell>
          <cell r="C687" t="str">
            <v>SOL</v>
          </cell>
          <cell r="E687">
            <v>1.3426425850938672E-2</v>
          </cell>
          <cell r="F687">
            <v>7.7962068104035564E-5</v>
          </cell>
          <cell r="G687">
            <v>3.6513188416565078E-4</v>
          </cell>
          <cell r="H687">
            <v>3.7493622928314019E-4</v>
          </cell>
          <cell r="I687">
            <v>6.7206276013620492E-4</v>
          </cell>
        </row>
        <row r="688">
          <cell r="A688" t="str">
            <v>RHNS-SHSOLBR</v>
          </cell>
          <cell r="B688" t="str">
            <v>VAR_ncap</v>
          </cell>
          <cell r="C688" t="str">
            <v>-</v>
          </cell>
          <cell r="E688">
            <v>2.0339026632803701E-3</v>
          </cell>
          <cell r="F688">
            <v>4.5730481730295002E-5</v>
          </cell>
          <cell r="G688">
            <v>6.0113452855293099E-5</v>
          </cell>
          <cell r="H688">
            <v>9.3093650013677403E-5</v>
          </cell>
          <cell r="I688">
            <v>1.17479284116647E-4</v>
          </cell>
        </row>
        <row r="689">
          <cell r="A689" t="str">
            <v>RHNS-SHSOLBR</v>
          </cell>
          <cell r="B689" t="str">
            <v>VAR_cap</v>
          </cell>
          <cell r="C689" t="str">
            <v>-</v>
          </cell>
          <cell r="E689">
            <v>2.0339026632803701E-3</v>
          </cell>
          <cell r="F689">
            <v>2.0632697556862618E-3</v>
          </cell>
          <cell r="G689">
            <v>2.1194954532043394E-3</v>
          </cell>
          <cell r="H689">
            <v>4.0362028815661835E-4</v>
          </cell>
          <cell r="I689">
            <v>2.9553567494011908E-4</v>
          </cell>
        </row>
        <row r="690">
          <cell r="A690" t="str">
            <v>RHES-SHPLTBR</v>
          </cell>
          <cell r="B690" t="str">
            <v>VAR_fout</v>
          </cell>
          <cell r="C690" t="str">
            <v>RHES-SHPLT</v>
          </cell>
          <cell r="D690">
            <v>1.2957913666581315</v>
          </cell>
          <cell r="E690">
            <v>1.486894085168279</v>
          </cell>
          <cell r="F690">
            <v>4.1518049544761751E-2</v>
          </cell>
          <cell r="G690">
            <v>4.7797921255879755E-2</v>
          </cell>
          <cell r="H690">
            <v>5.4480367304173286E-2</v>
          </cell>
          <cell r="I690">
            <v>4.8147938284242582E-2</v>
          </cell>
        </row>
        <row r="691">
          <cell r="A691" t="str">
            <v>RHES-SHPLTBR</v>
          </cell>
          <cell r="B691" t="str">
            <v>VAR_fin</v>
          </cell>
          <cell r="C691" t="str">
            <v>RPLT</v>
          </cell>
          <cell r="D691">
            <v>1.4397681851757012</v>
          </cell>
          <cell r="E691">
            <v>1.6521045390758664</v>
          </cell>
          <cell r="F691">
            <v>5.6999556360933491E-2</v>
          </cell>
          <cell r="G691">
            <v>6.5017509321105948E-2</v>
          </cell>
          <cell r="H691">
            <v>7.2717813273821999E-2</v>
          </cell>
          <cell r="I691">
            <v>6.2852810659155642E-2</v>
          </cell>
        </row>
        <row r="692">
          <cell r="A692" t="str">
            <v>RHES-SHPLTBR</v>
          </cell>
          <cell r="B692" t="str">
            <v>VAR_ncap</v>
          </cell>
          <cell r="C692" t="str">
            <v>-</v>
          </cell>
          <cell r="E692">
            <v>1.54574130031069E-2</v>
          </cell>
          <cell r="F692">
            <v>1.61114901265003E-7</v>
          </cell>
          <cell r="G692">
            <v>6.4976563849074398E-7</v>
          </cell>
          <cell r="H692">
            <v>4.0716005822436299E-3</v>
          </cell>
          <cell r="I692">
            <v>7.9733897701588505E-4</v>
          </cell>
        </row>
        <row r="693">
          <cell r="A693" t="str">
            <v>RHES-SHPLTBR</v>
          </cell>
          <cell r="B693" t="str">
            <v>VAR_cap</v>
          </cell>
          <cell r="C693" t="str">
            <v>-</v>
          </cell>
          <cell r="D693">
            <v>0.104681131456585</v>
          </cell>
          <cell r="E693">
            <v>0.12013844722022468</v>
          </cell>
          <cell r="F693">
            <v>7.3176976410531114E-3</v>
          </cell>
          <cell r="G693">
            <v>7.3180021017005964E-3</v>
          </cell>
          <cell r="H693">
            <v>4.4575885672454478E-3</v>
          </cell>
          <cell r="I693">
            <v>3.9152535355994481E-3</v>
          </cell>
        </row>
        <row r="694">
          <cell r="A694" t="str">
            <v>RHES-SHCONBR6</v>
          </cell>
          <cell r="B694" t="str">
            <v>VAR_fout</v>
          </cell>
          <cell r="C694" t="str">
            <v>RHES-SHCON</v>
          </cell>
          <cell r="E694">
            <v>5.5739748330850851E-4</v>
          </cell>
          <cell r="F694">
            <v>3.5348598481932316E-4</v>
          </cell>
          <cell r="G694">
            <v>3.3012400698162735E-4</v>
          </cell>
          <cell r="H694">
            <v>4.3959244523011714E-4</v>
          </cell>
          <cell r="I694">
            <v>3.0324914217609767E-4</v>
          </cell>
        </row>
        <row r="695">
          <cell r="A695" t="str">
            <v>RHES-SHCONBR6</v>
          </cell>
          <cell r="B695" t="str">
            <v>VAR_fin</v>
          </cell>
          <cell r="C695" t="str">
            <v>CON</v>
          </cell>
          <cell r="E695">
            <v>5.5739748330850851E-4</v>
          </cell>
          <cell r="F695">
            <v>3.5348598481932316E-4</v>
          </cell>
          <cell r="G695">
            <v>3.3012400698162735E-4</v>
          </cell>
          <cell r="H695">
            <v>4.3959244523011714E-4</v>
          </cell>
          <cell r="I695">
            <v>3.0324914217609767E-4</v>
          </cell>
        </row>
        <row r="696">
          <cell r="A696" t="str">
            <v>RHES-SHCONBR6</v>
          </cell>
          <cell r="B696" t="str">
            <v>VAR_ncap</v>
          </cell>
          <cell r="C696" t="str">
            <v>-</v>
          </cell>
          <cell r="E696">
            <v>2.9462252222000101E-5</v>
          </cell>
          <cell r="F696">
            <v>2.7160115890505199E-7</v>
          </cell>
          <cell r="G696">
            <v>1.8676152110305799E-7</v>
          </cell>
          <cell r="H696">
            <v>7.8810994756879401E-8</v>
          </cell>
          <cell r="I696">
            <v>1.3656677096206301E-7</v>
          </cell>
        </row>
        <row r="697">
          <cell r="A697" t="str">
            <v>RHES-SHCONBR6</v>
          </cell>
          <cell r="B697" t="str">
            <v>VAR_cap</v>
          </cell>
          <cell r="C697" t="str">
            <v>-</v>
          </cell>
          <cell r="E697">
            <v>2.9462252222000101E-5</v>
          </cell>
          <cell r="F697">
            <v>2.9580770456420049E-5</v>
          </cell>
          <cell r="G697">
            <v>2.9665274068768942E-5</v>
          </cell>
          <cell r="H697">
            <v>2.9723196947257361E-5</v>
          </cell>
          <cell r="I697">
            <v>1.7511742936339997E-5</v>
          </cell>
        </row>
        <row r="698">
          <cell r="A698" t="str">
            <v>RHSA-WHPLTBR</v>
          </cell>
          <cell r="B698" t="str">
            <v>VAR_fout</v>
          </cell>
          <cell r="C698" t="str">
            <v>RHSA-WHPLT</v>
          </cell>
          <cell r="D698">
            <v>0.16982874439016427</v>
          </cell>
          <cell r="E698">
            <v>0.194846166054646</v>
          </cell>
          <cell r="F698">
            <v>7.6906050633049811E-2</v>
          </cell>
          <cell r="G698">
            <v>0.10327755888469543</v>
          </cell>
          <cell r="H698">
            <v>0.133250449850422</v>
          </cell>
          <cell r="I698">
            <v>0.13502230071552138</v>
          </cell>
        </row>
        <row r="699">
          <cell r="A699" t="str">
            <v>RHSA-WHPLTBR</v>
          </cell>
          <cell r="B699" t="str">
            <v>VAR_fin</v>
          </cell>
          <cell r="C699" t="str">
            <v>RPLT</v>
          </cell>
          <cell r="D699">
            <v>0.2717259910242627</v>
          </cell>
          <cell r="E699">
            <v>0.31175386568743346</v>
          </cell>
          <cell r="F699">
            <v>0.17012343012207534</v>
          </cell>
          <cell r="G699">
            <v>0.22362747615168341</v>
          </cell>
          <cell r="H699">
            <v>0.2769656636381394</v>
          </cell>
          <cell r="I699">
            <v>0.26976699158742001</v>
          </cell>
        </row>
        <row r="700">
          <cell r="A700" t="str">
            <v>RHSA-WHPLTBR</v>
          </cell>
          <cell r="B700" t="str">
            <v>VAR_ncap</v>
          </cell>
          <cell r="C700" t="str">
            <v>-</v>
          </cell>
          <cell r="E700">
            <v>1.9621524824476101E-3</v>
          </cell>
          <cell r="F700">
            <v>3.3204334954456201E-7</v>
          </cell>
          <cell r="G700">
            <v>3.2649837473658002E-6</v>
          </cell>
          <cell r="H700">
            <v>4.4535083596501102E-3</v>
          </cell>
          <cell r="I700">
            <v>4.03040662713448E-3</v>
          </cell>
        </row>
        <row r="701">
          <cell r="A701" t="str">
            <v>RHSA-WHPLTBR</v>
          </cell>
          <cell r="B701" t="str">
            <v>VAR_cap</v>
          </cell>
          <cell r="C701" t="str">
            <v>-</v>
          </cell>
          <cell r="D701">
            <v>1.12410901121583E-2</v>
          </cell>
          <cell r="E701">
            <v>1.3203068544910957E-2</v>
          </cell>
          <cell r="F701">
            <v>1.077101006300183E-2</v>
          </cell>
          <cell r="G701">
            <v>1.0771578448129751E-2</v>
          </cell>
          <cell r="H701">
            <v>9.1648106419842616E-3</v>
          </cell>
          <cell r="I701">
            <v>9.2542201517054751E-3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ITOT-ELS</v>
          </cell>
          <cell r="I702">
            <v>2.052779603409953E-4</v>
          </cell>
        </row>
        <row r="703">
          <cell r="A703" t="str">
            <v>ITOT-SWHCONBR8</v>
          </cell>
          <cell r="B703" t="str">
            <v>VAR_fout</v>
          </cell>
          <cell r="C703" t="str">
            <v>ITOT-SWHC</v>
          </cell>
          <cell r="I703">
            <v>7.9258246103149608E-4</v>
          </cell>
        </row>
        <row r="704">
          <cell r="A704" t="str">
            <v>ITOT-SWHCONBR8</v>
          </cell>
          <cell r="B704" t="str">
            <v>VAR_fin</v>
          </cell>
          <cell r="C704" t="str">
            <v>CON</v>
          </cell>
          <cell r="I704">
            <v>9.9786042137249152E-4</v>
          </cell>
        </row>
        <row r="705">
          <cell r="A705" t="str">
            <v>ITOT-SWHCONBR8</v>
          </cell>
          <cell r="B705" t="str">
            <v>VAR_ncap</v>
          </cell>
          <cell r="C705" t="str">
            <v>-</v>
          </cell>
          <cell r="I705">
            <v>4.9738102009646502E-5</v>
          </cell>
        </row>
        <row r="706">
          <cell r="A706" t="str">
            <v>ITOT-SWHCONBR8</v>
          </cell>
          <cell r="B706" t="str">
            <v>VAR_cap</v>
          </cell>
          <cell r="C706" t="str">
            <v>-</v>
          </cell>
          <cell r="I706">
            <v>4.9738102009646502E-5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ELC5</v>
          </cell>
          <cell r="G707">
            <v>6.6668334188329939E-3</v>
          </cell>
          <cell r="H707">
            <v>1.3849855238809156E-2</v>
          </cell>
          <cell r="I707">
            <v>2.3405414500294328E-3</v>
          </cell>
        </row>
        <row r="708">
          <cell r="A708" t="str">
            <v>D-SCOM_KEV_HFC_ELC_CHP</v>
          </cell>
          <cell r="B708" t="str">
            <v>VAR_fout</v>
          </cell>
          <cell r="C708" t="str">
            <v>SCOM_ELC</v>
          </cell>
          <cell r="G708">
            <v>6.6789147185299033E-3</v>
          </cell>
          <cell r="H708">
            <v>1.3885804189021057E-2</v>
          </cell>
          <cell r="I708">
            <v>2.3415653689957661E-3</v>
          </cell>
        </row>
        <row r="709">
          <cell r="A709" t="str">
            <v>D-SCOM_KEV_HFC_ELC_CHP</v>
          </cell>
          <cell r="B709" t="str">
            <v>VAR_fin</v>
          </cell>
          <cell r="C709" t="str">
            <v>SCOM_KEV_HFC_ELC_CHP</v>
          </cell>
          <cell r="G709">
            <v>1.3305548505381959E-2</v>
          </cell>
          <cell r="H709">
            <v>2.7709417487953237E-2</v>
          </cell>
          <cell r="I709">
            <v>4.6377258384622993E-3</v>
          </cell>
        </row>
        <row r="710">
          <cell r="A710" t="str">
            <v>D-EH2R</v>
          </cell>
          <cell r="B710" t="str">
            <v>VAR_fout</v>
          </cell>
          <cell r="C710" t="str">
            <v>EH2</v>
          </cell>
          <cell r="H710">
            <v>8.9643865451989463E-3</v>
          </cell>
          <cell r="I710">
            <v>9.7709264469186211E-3</v>
          </cell>
        </row>
        <row r="711">
          <cell r="A711" t="str">
            <v>D-EH2R</v>
          </cell>
          <cell r="B711" t="str">
            <v>VAR_fin</v>
          </cell>
          <cell r="C711" t="str">
            <v>H2</v>
          </cell>
          <cell r="H711">
            <v>8.9643865451989463E-3</v>
          </cell>
          <cell r="I711">
            <v>9.7709264469186211E-3</v>
          </cell>
        </row>
        <row r="712">
          <cell r="A712" t="str">
            <v>D-EH2R</v>
          </cell>
          <cell r="B712" t="str">
            <v>VAR_ncap</v>
          </cell>
          <cell r="C712" t="str">
            <v>-</v>
          </cell>
          <cell r="G712">
            <v>1.2630863695377101E-6</v>
          </cell>
          <cell r="H712">
            <v>1.16632018380151E-3</v>
          </cell>
          <cell r="I712">
            <v>5.0313986292753303E-4</v>
          </cell>
        </row>
        <row r="713">
          <cell r="A713" t="str">
            <v>D-EH2R</v>
          </cell>
          <cell r="B713" t="str">
            <v>VAR_cap</v>
          </cell>
          <cell r="C713" t="str">
            <v>-</v>
          </cell>
          <cell r="G713">
            <v>1.2630863695377101E-6</v>
          </cell>
          <cell r="H713">
            <v>1.1669283102263501E-3</v>
          </cell>
          <cell r="I713">
            <v>9.0262930638631905E-4</v>
          </cell>
        </row>
        <row r="714">
          <cell r="A714" t="str">
            <v>SCOM-ELCSPECADV</v>
          </cell>
          <cell r="B714" t="str">
            <v>VAR_fout</v>
          </cell>
          <cell r="C714" t="str">
            <v>SCOM-ELS</v>
          </cell>
          <cell r="F714">
            <v>0.13244509430637963</v>
          </cell>
          <cell r="G714">
            <v>7.2014555699976821</v>
          </cell>
          <cell r="H714">
            <v>11.685149982632719</v>
          </cell>
          <cell r="I714">
            <v>15.105750899175534</v>
          </cell>
        </row>
        <row r="715">
          <cell r="A715" t="str">
            <v>SCOM-ELCSPECADV</v>
          </cell>
          <cell r="B715" t="str">
            <v>VAR_fin</v>
          </cell>
          <cell r="C715" t="str">
            <v>SCOM_ELC</v>
          </cell>
          <cell r="F715">
            <v>8.8296729537586341E-2</v>
          </cell>
          <cell r="G715">
            <v>4.8009703799984482</v>
          </cell>
          <cell r="H715">
            <v>7.7900999884218152</v>
          </cell>
          <cell r="I715">
            <v>10.070500599450357</v>
          </cell>
        </row>
        <row r="716">
          <cell r="A716" t="str">
            <v>SCOM-ELCSPECADV</v>
          </cell>
          <cell r="B716" t="str">
            <v>VAR_ncap</v>
          </cell>
          <cell r="C716" t="str">
            <v>-</v>
          </cell>
          <cell r="F716">
            <v>1.39995731606938E-2</v>
          </cell>
          <cell r="G716">
            <v>0.74718883872095698</v>
          </cell>
          <cell r="H716">
            <v>0.226936918479924</v>
          </cell>
          <cell r="I716">
            <v>0.62903513829671098</v>
          </cell>
        </row>
        <row r="717">
          <cell r="A717" t="str">
            <v>SCOM-ELCSPECADV</v>
          </cell>
          <cell r="B717" t="str">
            <v>VAR_cap</v>
          </cell>
          <cell r="C717" t="str">
            <v>-</v>
          </cell>
          <cell r="F717">
            <v>1.39995731606938E-2</v>
          </cell>
          <cell r="G717">
            <v>0.76118818977314384</v>
          </cell>
          <cell r="H717">
            <v>1.2351119748638129</v>
          </cell>
          <cell r="I717">
            <v>1.5966665110197795</v>
          </cell>
        </row>
        <row r="718">
          <cell r="A718" t="str">
            <v>RHSA-WHLTHRD</v>
          </cell>
          <cell r="B718" t="str">
            <v>VAR_fout</v>
          </cell>
          <cell r="C718" t="str">
            <v>RHSA-WHLTHRD</v>
          </cell>
          <cell r="D718">
            <v>1.317094246656368</v>
          </cell>
          <cell r="E718">
            <v>1.4633817729688472</v>
          </cell>
          <cell r="F718">
            <v>0.95364550563649431</v>
          </cell>
          <cell r="G718">
            <v>1.45600021960015</v>
          </cell>
          <cell r="H718">
            <v>1.9738667525882507</v>
          </cell>
          <cell r="I718">
            <v>2.186517200773253</v>
          </cell>
        </row>
        <row r="719">
          <cell r="A719" t="str">
            <v>RHSA-WHLTHRD</v>
          </cell>
          <cell r="B719" t="str">
            <v>VAR_fin</v>
          </cell>
          <cell r="C719" t="str">
            <v>RHSA_LTH</v>
          </cell>
          <cell r="D719">
            <v>1.7105120086446328</v>
          </cell>
          <cell r="E719">
            <v>1.8955722447782979</v>
          </cell>
          <cell r="F719">
            <v>1.7611614192944893</v>
          </cell>
          <cell r="G719">
            <v>2.6050364577552263</v>
          </cell>
          <cell r="H719">
            <v>3.4336335256636232</v>
          </cell>
          <cell r="I719">
            <v>3.7179391915529516</v>
          </cell>
        </row>
        <row r="720">
          <cell r="A720" t="str">
            <v>RHSA-WHLTHRD</v>
          </cell>
          <cell r="B720" t="str">
            <v>VAR_ncap</v>
          </cell>
          <cell r="C720" t="str">
            <v>-</v>
          </cell>
          <cell r="E720">
            <v>7.2768491170602995E-2</v>
          </cell>
          <cell r="F720">
            <v>4.3527164905631903E-2</v>
          </cell>
          <cell r="G720">
            <v>5.5665686280078799E-2</v>
          </cell>
          <cell r="H720">
            <v>9.8868662765277296E-2</v>
          </cell>
          <cell r="I720">
            <v>0.14640490303545201</v>
          </cell>
        </row>
        <row r="721">
          <cell r="A721" t="str">
            <v>RHSA-WHLTHRD</v>
          </cell>
          <cell r="B721" t="str">
            <v>VAR_cap</v>
          </cell>
          <cell r="C721" t="str">
            <v>-</v>
          </cell>
          <cell r="D721">
            <v>0.13737412127568699</v>
          </cell>
          <cell r="E721">
            <v>0.13537749434397478</v>
          </cell>
          <cell r="F721">
            <v>9.8900554029619975E-2</v>
          </cell>
          <cell r="G721">
            <v>0.12122426779136397</v>
          </cell>
          <cell r="H721">
            <v>0.21794708722464295</v>
          </cell>
          <cell r="I721">
            <v>0.29237261609286902</v>
          </cell>
        </row>
        <row r="722">
          <cell r="A722" t="str">
            <v>RHES-SHCONBR7</v>
          </cell>
          <cell r="B722" t="str">
            <v>VAR_fout</v>
          </cell>
          <cell r="C722" t="str">
            <v>RHES-SHCON</v>
          </cell>
          <cell r="E722">
            <v>5.3173966518635179E-4</v>
          </cell>
          <cell r="F722">
            <v>3.4127431984178882E-4</v>
          </cell>
          <cell r="G722">
            <v>3.1448903777843651E-4</v>
          </cell>
          <cell r="H722">
            <v>4.1879149123264631E-4</v>
          </cell>
          <cell r="I722">
            <v>2.8986768804626327E-4</v>
          </cell>
        </row>
        <row r="723">
          <cell r="A723" t="str">
            <v>RHES-SHCONBR7</v>
          </cell>
          <cell r="B723" t="str">
            <v>VAR_fin</v>
          </cell>
          <cell r="C723" t="str">
            <v>CON</v>
          </cell>
          <cell r="E723">
            <v>5.3173966518635179E-4</v>
          </cell>
          <cell r="F723">
            <v>3.4127431984178882E-4</v>
          </cell>
          <cell r="G723">
            <v>3.1448903777843651E-4</v>
          </cell>
          <cell r="H723">
            <v>4.1879149123264631E-4</v>
          </cell>
          <cell r="I723">
            <v>2.8986768804626327E-4</v>
          </cell>
        </row>
        <row r="724">
          <cell r="A724" t="str">
            <v>RHES-SHCONBR7</v>
          </cell>
          <cell r="B724" t="str">
            <v>VAR_ncap</v>
          </cell>
          <cell r="C724" t="str">
            <v>-</v>
          </cell>
          <cell r="E724">
            <v>2.7388824342570499E-5</v>
          </cell>
          <cell r="F724">
            <v>2.7589377507880699E-7</v>
          </cell>
          <cell r="G724">
            <v>1.8891619946484801E-7</v>
          </cell>
          <cell r="H724">
            <v>7.7484484953918503E-8</v>
          </cell>
          <cell r="I724">
            <v>1.3295334791831101E-7</v>
          </cell>
        </row>
        <row r="725">
          <cell r="A725" t="str">
            <v>RHES-SHCONBR7</v>
          </cell>
          <cell r="B725" t="str">
            <v>VAR_cap</v>
          </cell>
          <cell r="C725" t="str">
            <v>-</v>
          </cell>
          <cell r="E725">
            <v>2.7388824342570499E-5</v>
          </cell>
          <cell r="F725">
            <v>2.7515604301256902E-5</v>
          </cell>
          <cell r="G725">
            <v>2.760528166000261E-5</v>
          </cell>
          <cell r="H725">
            <v>2.7658821875967394E-5</v>
          </cell>
          <cell r="I725">
            <v>1.6313865089358345E-5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ITOT-ELS</v>
          </cell>
          <cell r="I726">
            <v>3.9652071989039153E-5</v>
          </cell>
        </row>
        <row r="727">
          <cell r="A727" t="str">
            <v>ITOT-SWHCONBR9</v>
          </cell>
          <cell r="B727" t="str">
            <v>VAR_fout</v>
          </cell>
          <cell r="C727" t="str">
            <v>ITOT-SWHC</v>
          </cell>
          <cell r="I727">
            <v>2.3014038941816063E-4</v>
          </cell>
        </row>
        <row r="728">
          <cell r="A728" t="str">
            <v>ITOT-SWHCONBR9</v>
          </cell>
          <cell r="B728" t="str">
            <v>VAR_fin</v>
          </cell>
          <cell r="C728" t="str">
            <v>CON</v>
          </cell>
          <cell r="I728">
            <v>2.6979246140719976E-4</v>
          </cell>
        </row>
        <row r="729">
          <cell r="A729" t="str">
            <v>ITOT-SWHCONBR9</v>
          </cell>
          <cell r="B729" t="str">
            <v>VAR_ncap</v>
          </cell>
          <cell r="C729" t="str">
            <v>-</v>
          </cell>
          <cell r="I729">
            <v>1.01092377904856E-5</v>
          </cell>
        </row>
        <row r="730">
          <cell r="A730" t="str">
            <v>ITOT-SWHCONBR9</v>
          </cell>
          <cell r="B730" t="str">
            <v>VAR_cap</v>
          </cell>
          <cell r="C730" t="str">
            <v>-</v>
          </cell>
          <cell r="I730">
            <v>1.01092377904856E-5</v>
          </cell>
        </row>
        <row r="731">
          <cell r="A731" t="str">
            <v>SCOM-SHPLTBR</v>
          </cell>
          <cell r="B731" t="str">
            <v>VAR_fout</v>
          </cell>
          <cell r="C731" t="str">
            <v>SCOM-SHPLT</v>
          </cell>
          <cell r="D731">
            <v>1.8770847356043596</v>
          </cell>
          <cell r="E731">
            <v>2.1600929253047449</v>
          </cell>
          <cell r="F731">
            <v>0.3783118770640318</v>
          </cell>
          <cell r="G731">
            <v>0.48317692086810543</v>
          </cell>
          <cell r="H731">
            <v>0.72702472074804825</v>
          </cell>
          <cell r="I731">
            <v>0.73139638269459206</v>
          </cell>
        </row>
        <row r="732">
          <cell r="A732" t="str">
            <v>SCOM-SHPLTBR</v>
          </cell>
          <cell r="B732" t="str">
            <v>VAR_fin</v>
          </cell>
          <cell r="C732" t="str">
            <v>SCOMPLTBRC</v>
          </cell>
          <cell r="D732">
            <v>1.8770847356043596</v>
          </cell>
          <cell r="E732">
            <v>2.1600929253047449</v>
          </cell>
          <cell r="F732">
            <v>0.3783118770640318</v>
          </cell>
          <cell r="G732">
            <v>0.48317692086810543</v>
          </cell>
          <cell r="H732">
            <v>0.72702472074804825</v>
          </cell>
          <cell r="I732">
            <v>0.73139638269459206</v>
          </cell>
        </row>
        <row r="733">
          <cell r="A733" t="str">
            <v>SCOM-SHPLTBR</v>
          </cell>
          <cell r="B733" t="str">
            <v>VAR_fin</v>
          </cell>
          <cell r="C733" t="str">
            <v>SPLT</v>
          </cell>
          <cell r="D733">
            <v>2.0856497062270649</v>
          </cell>
          <cell r="E733">
            <v>2.4001032503386051</v>
          </cell>
          <cell r="F733">
            <v>0.57418847339101009</v>
          </cell>
          <cell r="G733">
            <v>0.72927329760050885</v>
          </cell>
          <cell r="H733">
            <v>1.0699252584094092</v>
          </cell>
          <cell r="I733">
            <v>1.0717054638767578</v>
          </cell>
        </row>
        <row r="734">
          <cell r="A734" t="str">
            <v>SCOM-SHPLTBR</v>
          </cell>
          <cell r="B734" t="str">
            <v>VAR_ncap</v>
          </cell>
          <cell r="C734" t="str">
            <v>-</v>
          </cell>
          <cell r="D734">
            <v>3.51860734625879E-6</v>
          </cell>
          <cell r="E734">
            <v>2.4485454647817401E-2</v>
          </cell>
          <cell r="F734">
            <v>8.6534813317958698E-7</v>
          </cell>
          <cell r="G734">
            <v>6.7065798668122401E-6</v>
          </cell>
          <cell r="H734">
            <v>3.53446904575676E-2</v>
          </cell>
          <cell r="I734">
            <v>2.54829748421544E-2</v>
          </cell>
        </row>
        <row r="735">
          <cell r="A735" t="str">
            <v>SCOM-SHPLTBR</v>
          </cell>
          <cell r="B735" t="str">
            <v>VAR_cap</v>
          </cell>
          <cell r="C735" t="str">
            <v>-</v>
          </cell>
          <cell r="D735">
            <v>0.15051438673154027</v>
          </cell>
          <cell r="E735">
            <v>0.17499949239958176</v>
          </cell>
          <cell r="F735">
            <v>5.9173410474921903E-2</v>
          </cell>
          <cell r="G735">
            <v>5.9169853108421697E-2</v>
          </cell>
          <cell r="H735">
            <v>5.9818333079767493E-2</v>
          </cell>
          <cell r="I735">
            <v>6.1483554747257932E-2</v>
          </cell>
        </row>
        <row r="736">
          <cell r="A736" t="str">
            <v>ITOT-SWHELCHP</v>
          </cell>
          <cell r="B736" t="str">
            <v>VAR_fout</v>
          </cell>
          <cell r="C736" t="str">
            <v>ITOT-SWHAELCH</v>
          </cell>
          <cell r="D736">
            <v>1.1083003085439191</v>
          </cell>
          <cell r="E736">
            <v>1.4008464846282902</v>
          </cell>
          <cell r="F736">
            <v>1.6905488616166664</v>
          </cell>
          <cell r="G736">
            <v>5.8958488527047628</v>
          </cell>
          <cell r="H736">
            <v>5.8958564493975922</v>
          </cell>
          <cell r="I736">
            <v>5.8958670496703931</v>
          </cell>
        </row>
        <row r="737">
          <cell r="A737" t="str">
            <v>ITOT-SWHELCHP</v>
          </cell>
          <cell r="B737" t="str">
            <v>VAR_fin</v>
          </cell>
          <cell r="C737" t="str">
            <v>ITOT_ELC</v>
          </cell>
          <cell r="D737">
            <v>0.35972328382004198</v>
          </cell>
          <cell r="E737">
            <v>0.45108020586439074</v>
          </cell>
          <cell r="F737">
            <v>0.53798471269566517</v>
          </cell>
          <cell r="G737">
            <v>1.8402866007512284</v>
          </cell>
          <cell r="H737">
            <v>1.7723620252684504</v>
          </cell>
          <cell r="I737">
            <v>1.7092741559244702</v>
          </cell>
        </row>
        <row r="738">
          <cell r="A738" t="str">
            <v>ITOT-SWHELCHP</v>
          </cell>
          <cell r="B738" t="str">
            <v>VAR_fin</v>
          </cell>
          <cell r="C738" t="str">
            <v>ITOTELCHPC</v>
          </cell>
          <cell r="D738">
            <v>1.1083003085439191</v>
          </cell>
          <cell r="E738">
            <v>1.4008464846282902</v>
          </cell>
          <cell r="F738">
            <v>1.6905488616166664</v>
          </cell>
          <cell r="G738">
            <v>5.8958488527047628</v>
          </cell>
          <cell r="H738">
            <v>5.8958564493975922</v>
          </cell>
          <cell r="I738">
            <v>5.8958670496703931</v>
          </cell>
        </row>
        <row r="739">
          <cell r="A739" t="str">
            <v>ITOT-SWHELCHP</v>
          </cell>
          <cell r="B739" t="str">
            <v>VAR_ncap</v>
          </cell>
          <cell r="C739" t="str">
            <v>-</v>
          </cell>
          <cell r="E739">
            <v>1.6376421234480101E-2</v>
          </cell>
          <cell r="F739">
            <v>1.5563222735413201E-2</v>
          </cell>
          <cell r="G739">
            <v>0.229378351335255</v>
          </cell>
          <cell r="H739">
            <v>0.108138755140059</v>
          </cell>
          <cell r="I739">
            <v>0.22104212395064701</v>
          </cell>
        </row>
        <row r="740">
          <cell r="A740" t="str">
            <v>ITOT-SWHELCHP</v>
          </cell>
          <cell r="B740" t="str">
            <v>VAR_cap</v>
          </cell>
          <cell r="C740" t="str">
            <v>-</v>
          </cell>
          <cell r="D740">
            <v>6.02631234918991E-2</v>
          </cell>
          <cell r="E740">
            <v>7.6638473339209118E-2</v>
          </cell>
          <cell r="F740">
            <v>9.2200156217269957E-2</v>
          </cell>
          <cell r="G740">
            <v>0.32157653360929006</v>
          </cell>
          <cell r="H740">
            <v>0.32432150931458115</v>
          </cell>
          <cell r="I740">
            <v>0.32353154621396363</v>
          </cell>
        </row>
        <row r="741">
          <cell r="A741" t="str">
            <v>RHES-SHCONBR8</v>
          </cell>
          <cell r="B741" t="str">
            <v>VAR_fout</v>
          </cell>
          <cell r="C741" t="str">
            <v>RHES-SHCON</v>
          </cell>
          <cell r="E741">
            <v>1.9335092237888601E-4</v>
          </cell>
          <cell r="F741">
            <v>1.7817891097145406E-4</v>
          </cell>
          <cell r="G741">
            <v>1.1963228857399784E-4</v>
          </cell>
          <cell r="H741">
            <v>1.4701017837805033E-4</v>
          </cell>
          <cell r="I741">
            <v>1.0992308158480458E-4</v>
          </cell>
        </row>
        <row r="742">
          <cell r="A742" t="str">
            <v>RHES-SHCONBR8</v>
          </cell>
          <cell r="B742" t="str">
            <v>VAR_fin</v>
          </cell>
          <cell r="C742" t="str">
            <v>CON</v>
          </cell>
          <cell r="E742">
            <v>1.9335092237888601E-4</v>
          </cell>
          <cell r="F742">
            <v>1.7817891097145406E-4</v>
          </cell>
          <cell r="G742">
            <v>1.1963228857399784E-4</v>
          </cell>
          <cell r="H742">
            <v>1.4701017837805033E-4</v>
          </cell>
          <cell r="I742">
            <v>1.0992308158480458E-4</v>
          </cell>
        </row>
        <row r="743">
          <cell r="A743" t="str">
            <v>RHES-SHCONBR8</v>
          </cell>
          <cell r="B743" t="str">
            <v>VAR_ncap</v>
          </cell>
          <cell r="C743" t="str">
            <v>-</v>
          </cell>
          <cell r="E743">
            <v>4.9398814433714901E-8</v>
          </cell>
          <cell r="F743">
            <v>5.3872760433734601E-8</v>
          </cell>
          <cell r="G743">
            <v>3.9543792991106402E-8</v>
          </cell>
          <cell r="H743">
            <v>3.1192311067940899E-8</v>
          </cell>
          <cell r="I743">
            <v>4.49825421270211E-8</v>
          </cell>
        </row>
        <row r="744">
          <cell r="A744" t="str">
            <v>RHES-SHCONBR8</v>
          </cell>
          <cell r="B744" t="str">
            <v>VAR_cap</v>
          </cell>
          <cell r="C744" t="str">
            <v>-</v>
          </cell>
          <cell r="E744">
            <v>4.9398814433714901E-8</v>
          </cell>
          <cell r="F744">
            <v>1.3745616273062305E-8</v>
          </cell>
          <cell r="G744">
            <v>6.1951980870120026E-9</v>
          </cell>
          <cell r="H744">
            <v>-3.4730542112309E-8</v>
          </cell>
          <cell r="I744">
            <v>5.7173161541169013E-8</v>
          </cell>
        </row>
        <row r="745">
          <cell r="A745" t="str">
            <v>RHEM-SHWODBR</v>
          </cell>
          <cell r="B745" t="str">
            <v>VAR_fout</v>
          </cell>
          <cell r="C745" t="str">
            <v>RHEM-SHWOD</v>
          </cell>
          <cell r="D745">
            <v>4.7439349049537567</v>
          </cell>
          <cell r="E745">
            <v>5.3593319253076652</v>
          </cell>
          <cell r="F745">
            <v>5.3583706176029704</v>
          </cell>
          <cell r="G745">
            <v>4.8551052254746239</v>
          </cell>
          <cell r="H745">
            <v>3.5830719608329655</v>
          </cell>
          <cell r="I745">
            <v>2.2324017165193841</v>
          </cell>
        </row>
        <row r="746">
          <cell r="A746" t="str">
            <v>RHEM-SHWODBR</v>
          </cell>
          <cell r="B746" t="str">
            <v>VAR_fin</v>
          </cell>
          <cell r="C746" t="str">
            <v>RHEMWODBRC</v>
          </cell>
          <cell r="D746">
            <v>4.7439349049537567</v>
          </cell>
          <cell r="E746">
            <v>5.3593319253076652</v>
          </cell>
          <cell r="F746">
            <v>5.3583706176029704</v>
          </cell>
          <cell r="G746">
            <v>4.8551052254746239</v>
          </cell>
          <cell r="H746">
            <v>3.5830719608329655</v>
          </cell>
          <cell r="I746">
            <v>2.2324017165193841</v>
          </cell>
        </row>
        <row r="747">
          <cell r="A747" t="str">
            <v>RHEM-SHWODBR</v>
          </cell>
          <cell r="B747" t="str">
            <v>VAR_fin</v>
          </cell>
          <cell r="C747" t="str">
            <v>RWOD</v>
          </cell>
          <cell r="D747">
            <v>6.5887984791024383</v>
          </cell>
          <cell r="E747">
            <v>7.4435165629273206</v>
          </cell>
          <cell r="F747">
            <v>7.4257694284308471</v>
          </cell>
          <cell r="G747">
            <v>6.695607140503772</v>
          </cell>
          <cell r="H747">
            <v>4.9376087787121898</v>
          </cell>
          <cell r="I747">
            <v>2.9760837455250222</v>
          </cell>
        </row>
        <row r="748">
          <cell r="A748" t="str">
            <v>RHEM-SHWODBR</v>
          </cell>
          <cell r="B748" t="str">
            <v>VAR_ncap</v>
          </cell>
          <cell r="C748" t="str">
            <v>-</v>
          </cell>
          <cell r="D748">
            <v>6.3545621942476499E-5</v>
          </cell>
          <cell r="E748">
            <v>4.3377776366033398E-2</v>
          </cell>
          <cell r="F748">
            <v>1.154987368354E-5</v>
          </cell>
          <cell r="G748">
            <v>1.2448637291103701E-6</v>
          </cell>
          <cell r="H748">
            <v>6.7901233666036107E-2</v>
          </cell>
          <cell r="I748">
            <v>2.86910248951486E-2</v>
          </cell>
        </row>
        <row r="749">
          <cell r="A749" t="str">
            <v>RHEM-SHWODBR</v>
          </cell>
          <cell r="B749" t="str">
            <v>VAR_cap</v>
          </cell>
          <cell r="C749" t="str">
            <v>-</v>
          </cell>
          <cell r="D749">
            <v>0.33513532457693551</v>
          </cell>
          <cell r="E749">
            <v>0.37851276682328372</v>
          </cell>
          <cell r="F749">
            <v>0.37852309577519128</v>
          </cell>
          <cell r="G749">
            <v>0.37851391966956632</v>
          </cell>
          <cell r="H749">
            <v>0.25704638200613283</v>
          </cell>
          <cell r="I749">
            <v>0.1579753229898303</v>
          </cell>
        </row>
        <row r="750">
          <cell r="A750" t="str">
            <v>RHES-SHCONBR9</v>
          </cell>
          <cell r="B750" t="str">
            <v>VAR_fout</v>
          </cell>
          <cell r="C750" t="str">
            <v>RHES-SHCON</v>
          </cell>
          <cell r="E750">
            <v>1.9281939452265207E-4</v>
          </cell>
          <cell r="F750">
            <v>1.815114244538323E-4</v>
          </cell>
          <cell r="G750">
            <v>1.199596896961368E-4</v>
          </cell>
          <cell r="H750">
            <v>1.4516389783640339E-4</v>
          </cell>
          <cell r="I750">
            <v>1.0829503676956709E-4</v>
          </cell>
        </row>
        <row r="751">
          <cell r="A751" t="str">
            <v>RHES-SHCONBR9</v>
          </cell>
          <cell r="B751" t="str">
            <v>VAR_fin</v>
          </cell>
          <cell r="C751" t="str">
            <v>CON</v>
          </cell>
          <cell r="E751">
            <v>1.9281939452265207E-4</v>
          </cell>
          <cell r="F751">
            <v>1.815114244538323E-4</v>
          </cell>
          <cell r="G751">
            <v>1.199596896961368E-4</v>
          </cell>
          <cell r="H751">
            <v>1.4516389783640339E-4</v>
          </cell>
          <cell r="I751">
            <v>1.0829503676956709E-4</v>
          </cell>
        </row>
        <row r="752">
          <cell r="A752" t="str">
            <v>RHES-SHCONBR9</v>
          </cell>
          <cell r="B752" t="str">
            <v>VAR_ncap</v>
          </cell>
          <cell r="C752" t="str">
            <v>-</v>
          </cell>
          <cell r="I752">
            <v>1.25591787026304E-8</v>
          </cell>
        </row>
        <row r="753">
          <cell r="A753" t="str">
            <v>RHES-SHCONBR9</v>
          </cell>
          <cell r="B753" t="str">
            <v>VAR_cap</v>
          </cell>
          <cell r="C753" t="str">
            <v>-</v>
          </cell>
          <cell r="F753">
            <v>-9.6165011377449503E-8</v>
          </cell>
          <cell r="G753">
            <v>-1.42184280550531E-7</v>
          </cell>
          <cell r="H753">
            <v>-2.6965004051360401E-7</v>
          </cell>
          <cell r="I753">
            <v>-1.3345786570089058E-7</v>
          </cell>
        </row>
        <row r="754">
          <cell r="A754" t="str">
            <v>D-RHNS_LTH_CHPNGA</v>
          </cell>
          <cell r="B754" t="str">
            <v>VAR_fout</v>
          </cell>
          <cell r="C754" t="str">
            <v>RHSA_LTH</v>
          </cell>
          <cell r="D754">
            <v>9.9540575393419664E-5</v>
          </cell>
          <cell r="E754">
            <v>8.080533309236563E-4</v>
          </cell>
          <cell r="F754">
            <v>6.4990359102544797E-3</v>
          </cell>
          <cell r="G754">
            <v>1.0037309717414174E-3</v>
          </cell>
          <cell r="H754">
            <v>3.6496801640997383E-3</v>
          </cell>
          <cell r="I754">
            <v>5.1318455305207096E-5</v>
          </cell>
        </row>
        <row r="755">
          <cell r="A755" t="str">
            <v>D-RHNS_LTH_CHPNGA</v>
          </cell>
          <cell r="B755" t="str">
            <v>VAR_fout</v>
          </cell>
          <cell r="C755" t="str">
            <v>LTH</v>
          </cell>
          <cell r="F755">
            <v>1.1839353593985989E-6</v>
          </cell>
          <cell r="G755">
            <v>1.7808827229494472E-6</v>
          </cell>
          <cell r="H755">
            <v>8.3800989328126811E-6</v>
          </cell>
          <cell r="I755">
            <v>3.7810314512982273E-5</v>
          </cell>
        </row>
        <row r="756">
          <cell r="A756" t="str">
            <v>D-RHNS_LTH_CHPNGA</v>
          </cell>
          <cell r="B756" t="str">
            <v>VAR_fout</v>
          </cell>
          <cell r="C756" t="str">
            <v>RHNS_LTH_CHPNGA_ON</v>
          </cell>
          <cell r="D756">
            <v>1.513496825364117E-4</v>
          </cell>
          <cell r="E756">
            <v>1.4439358678914828E-3</v>
          </cell>
          <cell r="G756">
            <v>2.8508314918825536E-3</v>
          </cell>
          <cell r="H756">
            <v>2.7530150896063783E-4</v>
          </cell>
          <cell r="I756">
            <v>1.6150154548198701E-5</v>
          </cell>
        </row>
        <row r="757">
          <cell r="A757" t="str">
            <v>D-RHNS_LTH_CHPNGA</v>
          </cell>
          <cell r="B757" t="str">
            <v>VAR_fin</v>
          </cell>
          <cell r="C757" t="str">
            <v>RHNS_LTH_CHPNGA</v>
          </cell>
          <cell r="D757">
            <v>2.5089025792983144E-4</v>
          </cell>
          <cell r="E757">
            <v>2.2526746890367943E-3</v>
          </cell>
          <cell r="F757">
            <v>6.5013430413999838E-3</v>
          </cell>
          <cell r="G757">
            <v>3.8574112655117582E-3</v>
          </cell>
          <cell r="H757">
            <v>3.933555612565174E-3</v>
          </cell>
          <cell r="I757">
            <v>1.0527892436638811E-4</v>
          </cell>
        </row>
        <row r="758">
          <cell r="A758" t="str">
            <v>D-SLFO</v>
          </cell>
          <cell r="B758" t="str">
            <v>VAR_fout</v>
          </cell>
          <cell r="C758" t="str">
            <v>CO2</v>
          </cell>
          <cell r="D758">
            <v>2267.7892388262599</v>
          </cell>
          <cell r="E758">
            <v>1985.17602565522</v>
          </cell>
          <cell r="F758">
            <v>1914.02849709921</v>
          </cell>
          <cell r="G758">
            <v>1131.0170553364401</v>
          </cell>
          <cell r="H758">
            <v>393.24795598200302</v>
          </cell>
          <cell r="I758">
            <v>1.2334483381066801E-3</v>
          </cell>
        </row>
        <row r="759">
          <cell r="A759" t="str">
            <v>D-SLFO</v>
          </cell>
          <cell r="B759" t="str">
            <v>VAR_fout</v>
          </cell>
          <cell r="C759" t="str">
            <v>SLFO</v>
          </cell>
          <cell r="D759">
            <v>30.256642003618616</v>
          </cell>
          <cell r="E759">
            <v>26.486041689440217</v>
          </cell>
          <cell r="F759">
            <v>25.537028548543876</v>
          </cell>
          <cell r="G759">
            <v>15.091313013443793</v>
          </cell>
          <cell r="H759">
            <v>5.249055409020043</v>
          </cell>
          <cell r="I759">
            <v>0.39399026521064545</v>
          </cell>
        </row>
        <row r="760">
          <cell r="A760" t="str">
            <v>D-SLFO</v>
          </cell>
          <cell r="B760" t="str">
            <v>VAR_fin</v>
          </cell>
          <cell r="C760" t="str">
            <v>LFO</v>
          </cell>
          <cell r="D760">
            <v>30.770545981360417</v>
          </cell>
          <cell r="E760">
            <v>26.935902654751942</v>
          </cell>
          <cell r="F760">
            <v>25.970535917221294</v>
          </cell>
          <cell r="G760">
            <v>15.346228701987028</v>
          </cell>
          <cell r="H760">
            <v>5.3357931612212139</v>
          </cell>
          <cell r="I760">
            <v>1.6736069716508557E-5</v>
          </cell>
        </row>
        <row r="761">
          <cell r="A761" t="str">
            <v>D-SLFO</v>
          </cell>
          <cell r="B761" t="str">
            <v>VAR_fin</v>
          </cell>
          <cell r="C761" t="str">
            <v>BDS</v>
          </cell>
          <cell r="F761">
            <v>2.3291680520304907E-4</v>
          </cell>
          <cell r="G761">
            <v>1.4107104604283453E-3</v>
          </cell>
          <cell r="H761">
            <v>2.4257495888040741E-3</v>
          </cell>
          <cell r="I761">
            <v>0.40067223909006022</v>
          </cell>
        </row>
        <row r="762">
          <cell r="A762" t="str">
            <v>D-RCOA</v>
          </cell>
          <cell r="B762" t="str">
            <v>VAR_fout</v>
          </cell>
          <cell r="C762" t="str">
            <v>CO2</v>
          </cell>
          <cell r="D762">
            <v>9.2714494253999096</v>
          </cell>
          <cell r="E762">
            <v>9.2706171258528407</v>
          </cell>
          <cell r="F762">
            <v>2.4989238761534498</v>
          </cell>
          <cell r="G762">
            <v>2.11682684606645E-2</v>
          </cell>
        </row>
        <row r="763">
          <cell r="A763" t="str">
            <v>D-RCOA</v>
          </cell>
          <cell r="B763" t="str">
            <v>VAR_fout</v>
          </cell>
          <cell r="C763" t="str">
            <v>RCOA</v>
          </cell>
          <cell r="D763">
            <v>0.10001563565695698</v>
          </cell>
          <cell r="E763">
            <v>0.10000665723681604</v>
          </cell>
          <cell r="F763">
            <v>2.6957107617620768E-2</v>
          </cell>
          <cell r="G763">
            <v>2.2835241057890516E-4</v>
          </cell>
        </row>
        <row r="764">
          <cell r="A764" t="str">
            <v>D-RCOA</v>
          </cell>
          <cell r="B764" t="str">
            <v>VAR_fin</v>
          </cell>
          <cell r="C764" t="str">
            <v>COA</v>
          </cell>
          <cell r="D764">
            <v>0.10001563565695698</v>
          </cell>
          <cell r="E764">
            <v>0.10000665723681604</v>
          </cell>
          <cell r="F764">
            <v>2.6957107617620768E-2</v>
          </cell>
          <cell r="G764">
            <v>2.2835241057890516E-4</v>
          </cell>
        </row>
        <row r="765">
          <cell r="A765" t="str">
            <v>SCOM-ELCSPECDC</v>
          </cell>
          <cell r="B765" t="str">
            <v>VAR_fout</v>
          </cell>
          <cell r="C765" t="str">
            <v>SCOM-ELSDC</v>
          </cell>
          <cell r="F765">
            <v>13.290698929185066</v>
          </cell>
          <cell r="G765">
            <v>13.175113596716098</v>
          </cell>
          <cell r="H765">
            <v>13.115304700392915</v>
          </cell>
          <cell r="I765">
            <v>12.838404140405576</v>
          </cell>
        </row>
        <row r="766">
          <cell r="A766" t="str">
            <v>SCOM-ELCSPECDC</v>
          </cell>
          <cell r="B766" t="str">
            <v>VAR_fin</v>
          </cell>
          <cell r="C766" t="str">
            <v>SCOM_ELC</v>
          </cell>
          <cell r="F766">
            <v>13.290698929185066</v>
          </cell>
          <cell r="G766">
            <v>13.175113596716098</v>
          </cell>
          <cell r="H766">
            <v>13.115304700392915</v>
          </cell>
          <cell r="I766">
            <v>12.838404140405576</v>
          </cell>
        </row>
        <row r="767">
          <cell r="A767" t="str">
            <v>D-RHEM_KEV_WOD_ELC_CHP</v>
          </cell>
          <cell r="B767" t="str">
            <v>VAR_fout</v>
          </cell>
          <cell r="C767" t="str">
            <v>ELC5</v>
          </cell>
          <cell r="G767">
            <v>1.2522487400635906E-3</v>
          </cell>
          <cell r="H767">
            <v>3.0559809989266128E-2</v>
          </cell>
          <cell r="I767">
            <v>3.1231988833538013E-3</v>
          </cell>
        </row>
        <row r="768">
          <cell r="A768" t="str">
            <v>D-RHEM_KEV_WOD_ELC_CHP</v>
          </cell>
          <cell r="B768" t="str">
            <v>VAR_fout</v>
          </cell>
          <cell r="C768" t="str">
            <v>RHEM_ELC</v>
          </cell>
          <cell r="G768">
            <v>1.2503306955813985E-3</v>
          </cell>
          <cell r="H768">
            <v>3.0507793493023409E-2</v>
          </cell>
          <cell r="I768">
            <v>3.1217887104824735E-3</v>
          </cell>
        </row>
        <row r="769">
          <cell r="A769" t="str">
            <v>D-RHEM_KEV_WOD_ELC_CHP</v>
          </cell>
          <cell r="B769" t="str">
            <v>VAR_fin</v>
          </cell>
          <cell r="C769" t="str">
            <v>RHEM_KEV_WOD_ELC_CHP</v>
          </cell>
          <cell r="G769">
            <v>2.4774160308855993E-3</v>
          </cell>
          <cell r="H769">
            <v>6.1038829810932158E-2</v>
          </cell>
          <cell r="I769">
            <v>6.219613351397822E-3</v>
          </cell>
        </row>
        <row r="770">
          <cell r="A770" t="str">
            <v>RHES-SHSTG-SOL</v>
          </cell>
          <cell r="B770" t="str">
            <v>VAR_fout</v>
          </cell>
          <cell r="C770" t="str">
            <v>RHES-SHASOL</v>
          </cell>
          <cell r="D770">
            <v>7.6128811209445795E-5</v>
          </cell>
          <cell r="E770">
            <v>1.9817617477871938E-5</v>
          </cell>
          <cell r="F770">
            <v>7.5711157683746502E-3</v>
          </cell>
          <cell r="G770">
            <v>6.7020606493517825E-3</v>
          </cell>
          <cell r="H770">
            <v>3.0370661812987392E-3</v>
          </cell>
          <cell r="I770">
            <v>2.7272126990273513E-3</v>
          </cell>
        </row>
        <row r="771">
          <cell r="A771" t="str">
            <v>RHES-SHSTG-SOL</v>
          </cell>
          <cell r="B771" t="str">
            <v>VAR_fin</v>
          </cell>
          <cell r="C771" t="str">
            <v>RHES-SHASOL</v>
          </cell>
          <cell r="D771">
            <v>5.2472303780833932E-6</v>
          </cell>
          <cell r="E771">
            <v>4.723342701769475E-5</v>
          </cell>
          <cell r="F771">
            <v>7.5973559178494788E-3</v>
          </cell>
          <cell r="G771">
            <v>6.7054978794517453E-3</v>
          </cell>
          <cell r="H771">
            <v>3.0373289071112058E-3</v>
          </cell>
          <cell r="I771">
            <v>2.7253220175098183E-3</v>
          </cell>
        </row>
        <row r="772">
          <cell r="A772" t="str">
            <v>RHES-SHSTG-SOL</v>
          </cell>
          <cell r="B772" t="str">
            <v>VAR_ncap</v>
          </cell>
          <cell r="C772" t="str">
            <v>-</v>
          </cell>
          <cell r="D772">
            <v>1.10230359477216E-2</v>
          </cell>
          <cell r="E772">
            <v>1.4370624597905501E-4</v>
          </cell>
          <cell r="F772">
            <v>9.4229939632641801E-7</v>
          </cell>
          <cell r="G772">
            <v>1.53143127773099E-6</v>
          </cell>
          <cell r="H772">
            <v>2.5783785976320498E-4</v>
          </cell>
          <cell r="I772">
            <v>2.0202841900809101E-4</v>
          </cell>
        </row>
        <row r="773">
          <cell r="A773" t="str">
            <v>RHES-SHSTG-SOL</v>
          </cell>
          <cell r="B773" t="str">
            <v>VAR_cap</v>
          </cell>
          <cell r="C773" t="str">
            <v>-</v>
          </cell>
          <cell r="D773">
            <v>1.10230359477216E-2</v>
          </cell>
          <cell r="E773">
            <v>1.1166742193700599E-2</v>
          </cell>
          <cell r="F773">
            <v>1.1167684493097E-2</v>
          </cell>
          <cell r="G773">
            <v>1.11692159243747E-2</v>
          </cell>
          <cell r="H773">
            <v>5.9305975139361904E-4</v>
          </cell>
          <cell r="I773">
            <v>5.3043403631631398E-4</v>
          </cell>
        </row>
        <row r="774">
          <cell r="A774" t="str">
            <v>D-ITOT_LTH</v>
          </cell>
          <cell r="B774" t="str">
            <v>VAR_fout</v>
          </cell>
          <cell r="C774" t="str">
            <v>ITOT_LTH_DH</v>
          </cell>
          <cell r="D774">
            <v>7.1200281690851011</v>
          </cell>
          <cell r="E774">
            <v>7.6289125416766659</v>
          </cell>
          <cell r="F774">
            <v>7.3518815578640213</v>
          </cell>
          <cell r="G774">
            <v>7.7153628548535256</v>
          </cell>
          <cell r="H774">
            <v>6.6684083837046586</v>
          </cell>
          <cell r="I774">
            <v>8.7146622016317004</v>
          </cell>
        </row>
        <row r="775">
          <cell r="A775" t="str">
            <v>D-ITOT_LTH</v>
          </cell>
          <cell r="B775" t="str">
            <v>VAR_fin</v>
          </cell>
          <cell r="C775" t="str">
            <v>LTH</v>
          </cell>
          <cell r="D775">
            <v>7.7403663138819141</v>
          </cell>
          <cell r="E775">
            <v>8.291407989055946</v>
          </cell>
          <cell r="F775">
            <v>7.9871709222167295</v>
          </cell>
          <cell r="G775">
            <v>8.3765598104188541</v>
          </cell>
          <cell r="H775">
            <v>7.2303914555393289</v>
          </cell>
          <cell r="I775">
            <v>9.4367230579315713</v>
          </cell>
        </row>
        <row r="776">
          <cell r="A776" t="str">
            <v>D-ITOT_LTH</v>
          </cell>
          <cell r="B776" t="str">
            <v>VAR_ncap</v>
          </cell>
          <cell r="C776" t="str">
            <v>-</v>
          </cell>
          <cell r="D776">
            <v>0.79547305018450698</v>
          </cell>
          <cell r="E776">
            <v>1.6047623430692799E-7</v>
          </cell>
          <cell r="F776">
            <v>1.82110583615153E-7</v>
          </cell>
          <cell r="G776">
            <v>2.0771121899674199E-7</v>
          </cell>
          <cell r="H776">
            <v>3.8557133704351098E-7</v>
          </cell>
          <cell r="I776">
            <v>4.2105516835014201E-7</v>
          </cell>
        </row>
        <row r="777">
          <cell r="A777" t="str">
            <v>D-ITOT_LTH</v>
          </cell>
          <cell r="B777" t="str">
            <v>VAR_cap</v>
          </cell>
          <cell r="C777" t="str">
            <v>-</v>
          </cell>
          <cell r="D777">
            <v>0.79547305018450698</v>
          </cell>
          <cell r="E777">
            <v>0.79547321066074095</v>
          </cell>
          <cell r="F777">
            <v>0.79547339277132401</v>
          </cell>
          <cell r="G777">
            <v>0.79547360048254301</v>
          </cell>
          <cell r="H777">
            <v>0.79547428822560995</v>
          </cell>
          <cell r="I777">
            <v>0.79547470928077801</v>
          </cell>
        </row>
        <row r="778">
          <cell r="A778" t="str">
            <v>D-IH2</v>
          </cell>
          <cell r="B778" t="str">
            <v>VAR_fout</v>
          </cell>
          <cell r="C778" t="str">
            <v>IH2</v>
          </cell>
          <cell r="H778">
            <v>3.2057597020935158</v>
          </cell>
          <cell r="I778">
            <v>13.502575578009051</v>
          </cell>
        </row>
        <row r="779">
          <cell r="A779" t="str">
            <v>D-IH2</v>
          </cell>
          <cell r="B779" t="str">
            <v>VAR_fin</v>
          </cell>
          <cell r="C779" t="str">
            <v>H2</v>
          </cell>
          <cell r="H779">
            <v>3.2301824233976664</v>
          </cell>
          <cell r="I779">
            <v>13.605443438009447</v>
          </cell>
        </row>
        <row r="780">
          <cell r="A780" t="str">
            <v>D-IH2</v>
          </cell>
          <cell r="B780" t="str">
            <v>VAR_ncap</v>
          </cell>
          <cell r="C780" t="str">
            <v>-</v>
          </cell>
          <cell r="G780">
            <v>1.9238777709240498E-6</v>
          </cell>
          <cell r="H780">
            <v>0.44927296846460502</v>
          </cell>
          <cell r="I780">
            <v>0.56671942497543004</v>
          </cell>
        </row>
        <row r="781">
          <cell r="A781" t="str">
            <v>D-IH2</v>
          </cell>
          <cell r="B781" t="str">
            <v>VAR_cap</v>
          </cell>
          <cell r="C781" t="str">
            <v>-</v>
          </cell>
          <cell r="G781">
            <v>1.9238777709240498E-6</v>
          </cell>
          <cell r="H781">
            <v>0.53857807510361599</v>
          </cell>
          <cell r="I781">
            <v>1.1052975000790499</v>
          </cell>
        </row>
        <row r="782">
          <cell r="A782" t="str">
            <v>D-RHNM_LTH_CHPWOD</v>
          </cell>
          <cell r="B782" t="str">
            <v>VAR_fout</v>
          </cell>
          <cell r="C782" t="str">
            <v>RHNM_LTH_CHPWOD_ON</v>
          </cell>
          <cell r="D782">
            <v>1.4886797442507295E-4</v>
          </cell>
          <cell r="E782">
            <v>9.4220561831212944E-5</v>
          </cell>
          <cell r="F782">
            <v>2.3536611355199862E-5</v>
          </cell>
          <cell r="H782">
            <v>7.7350144204302057E-2</v>
          </cell>
          <cell r="I782">
            <v>1.2740649240296968E-2</v>
          </cell>
        </row>
        <row r="783">
          <cell r="A783" t="str">
            <v>D-RHNM_LTH_CHPWOD</v>
          </cell>
          <cell r="B783" t="str">
            <v>VAR_fout</v>
          </cell>
          <cell r="C783" t="str">
            <v>RHSA_LTH</v>
          </cell>
          <cell r="D783">
            <v>1.0202960143084769E-4</v>
          </cell>
          <cell r="E783">
            <v>1.4179523317666795E-4</v>
          </cell>
          <cell r="F783">
            <v>6.7291300653531358E-5</v>
          </cell>
          <cell r="G783">
            <v>7.1692863433004961E-3</v>
          </cell>
          <cell r="H783">
            <v>7.4201779195802703E-2</v>
          </cell>
          <cell r="I783">
            <v>2.6270401342146686E-3</v>
          </cell>
        </row>
        <row r="784">
          <cell r="A784" t="str">
            <v>D-RHNM_LTH_CHPWOD</v>
          </cell>
          <cell r="B784" t="str">
            <v>VAR_fout</v>
          </cell>
          <cell r="C784" t="str">
            <v>LTH</v>
          </cell>
          <cell r="E784">
            <v>4.7098609571354119E-6</v>
          </cell>
          <cell r="F784">
            <v>2.6273552165113214E-6</v>
          </cell>
          <cell r="G784">
            <v>4.5072209259252338E-6</v>
          </cell>
          <cell r="H784">
            <v>1.2202474277515074E-4</v>
          </cell>
          <cell r="I784">
            <v>2.872875215793052E-5</v>
          </cell>
        </row>
        <row r="785">
          <cell r="A785" t="str">
            <v>D-RHNM_LTH_CHPWOD</v>
          </cell>
          <cell r="B785" t="str">
            <v>VAR_fin</v>
          </cell>
          <cell r="C785" t="str">
            <v>RHNM_LTH_CHPWOD</v>
          </cell>
          <cell r="D785">
            <v>2.508975758559206E-4</v>
          </cell>
          <cell r="E785">
            <v>2.4072565596501634E-4</v>
          </cell>
          <cell r="F785">
            <v>9.3455267225242577E-5</v>
          </cell>
          <cell r="G785">
            <v>7.1741686615734157E-3</v>
          </cell>
          <cell r="H785">
            <v>0.15167394814287993</v>
          </cell>
          <cell r="I785">
            <v>1.5396434852269276E-2</v>
          </cell>
        </row>
        <row r="786">
          <cell r="A786" t="str">
            <v>RHNS-SHWODBR</v>
          </cell>
          <cell r="B786" t="str">
            <v>VAR_fout</v>
          </cell>
          <cell r="C786" t="str">
            <v>RHNS-SHWOD</v>
          </cell>
          <cell r="E786">
            <v>2.6584520600580228E-2</v>
          </cell>
          <cell r="F786">
            <v>2.3546180062363767E-2</v>
          </cell>
          <cell r="G786">
            <v>6.6454597996504966E-2</v>
          </cell>
          <cell r="H786">
            <v>7.6504739591674531E-2</v>
          </cell>
          <cell r="I786">
            <v>8.8108622239248841E-2</v>
          </cell>
        </row>
        <row r="787">
          <cell r="A787" t="str">
            <v>RHNS-SHWODBR</v>
          </cell>
          <cell r="B787" t="str">
            <v>VAR_fin</v>
          </cell>
          <cell r="C787" t="str">
            <v>RHNSWODBRC</v>
          </cell>
          <cell r="E787">
            <v>2.6584520600580228E-2</v>
          </cell>
          <cell r="F787">
            <v>2.3546180062363767E-2</v>
          </cell>
          <cell r="G787">
            <v>6.6454597996504966E-2</v>
          </cell>
          <cell r="H787">
            <v>7.6504739591674531E-2</v>
          </cell>
          <cell r="I787">
            <v>8.8108622239248841E-2</v>
          </cell>
        </row>
        <row r="788">
          <cell r="A788" t="str">
            <v>RHNS-SHWODBR</v>
          </cell>
          <cell r="B788" t="str">
            <v>VAR_fin</v>
          </cell>
          <cell r="C788" t="str">
            <v>RWOD</v>
          </cell>
          <cell r="E788">
            <v>3.6922945278583648E-2</v>
          </cell>
          <cell r="F788">
            <v>3.169721969390845E-2</v>
          </cell>
          <cell r="G788">
            <v>8.7617714018742673E-2</v>
          </cell>
          <cell r="H788">
            <v>0.10033047084688955</v>
          </cell>
          <cell r="I788">
            <v>0.11489394252360879</v>
          </cell>
        </row>
        <row r="789">
          <cell r="A789" t="str">
            <v>RHNS-SHWODBR</v>
          </cell>
          <cell r="B789" t="str">
            <v>VAR_ncap</v>
          </cell>
          <cell r="C789" t="str">
            <v>-</v>
          </cell>
          <cell r="E789">
            <v>2.0340347250098899E-3</v>
          </cell>
          <cell r="F789">
            <v>2.9042959914765401E-3</v>
          </cell>
        </row>
        <row r="790">
          <cell r="A790" t="str">
            <v>RHNS-SHWODBR</v>
          </cell>
          <cell r="B790" t="str">
            <v>VAR_cap</v>
          </cell>
          <cell r="C790" t="str">
            <v>-</v>
          </cell>
          <cell r="E790">
            <v>2.0340347250098899E-3</v>
          </cell>
          <cell r="F790">
            <v>4.9375796518536241E-3</v>
          </cell>
          <cell r="G790">
            <v>4.9374988562633946E-3</v>
          </cell>
          <cell r="H790">
            <v>1.5639550005137171E-2</v>
          </cell>
          <cell r="I790">
            <v>6.4399583155292772E-3</v>
          </cell>
        </row>
        <row r="791">
          <cell r="A791" t="str">
            <v>D-RHNM_NKEV_GAS_ELC_CHP</v>
          </cell>
          <cell r="B791" t="str">
            <v>VAR_fout</v>
          </cell>
          <cell r="C791" t="str">
            <v>ELC5</v>
          </cell>
          <cell r="E791">
            <v>1.1657488766391919E-3</v>
          </cell>
          <cell r="F791">
            <v>4.5885243420952185E-3</v>
          </cell>
          <cell r="G791">
            <v>1.1992118873874451E-3</v>
          </cell>
          <cell r="H791">
            <v>2.4520496957972067E-3</v>
          </cell>
        </row>
        <row r="792">
          <cell r="A792" t="str">
            <v>D-RHNM_NKEV_GAS_ELC_CHP</v>
          </cell>
          <cell r="B792" t="str">
            <v>VAR_fout</v>
          </cell>
          <cell r="C792" t="str">
            <v>RHNM_ELC</v>
          </cell>
          <cell r="E792">
            <v>1.1661270610285484E-3</v>
          </cell>
          <cell r="F792">
            <v>4.576470743791014E-3</v>
          </cell>
          <cell r="G792">
            <v>1.197981953197147E-3</v>
          </cell>
          <cell r="H792">
            <v>2.4495252158378659E-3</v>
          </cell>
        </row>
        <row r="793">
          <cell r="A793" t="str">
            <v>D-RHNM_NKEV_GAS_ELC_CHP</v>
          </cell>
          <cell r="B793" t="str">
            <v>VAR_fin</v>
          </cell>
          <cell r="C793" t="str">
            <v>RHNM_NKEV_GAS_ELC_CHP</v>
          </cell>
          <cell r="E793">
            <v>2.3318759376677418E-3</v>
          </cell>
          <cell r="F793">
            <v>9.1350921097432189E-3</v>
          </cell>
          <cell r="G793">
            <v>2.3728026405231651E-3</v>
          </cell>
          <cell r="H793">
            <v>4.8669301156958281E-3</v>
          </cell>
        </row>
        <row r="794">
          <cell r="A794" t="str">
            <v>D-RLFO</v>
          </cell>
          <cell r="B794" t="str">
            <v>VAR_fout</v>
          </cell>
          <cell r="C794" t="str">
            <v>CO2</v>
          </cell>
          <cell r="D794">
            <v>4514.4926719002497</v>
          </cell>
          <cell r="E794">
            <v>3846.5357873173102</v>
          </cell>
          <cell r="F794">
            <v>3621.76283956519</v>
          </cell>
          <cell r="G794">
            <v>1763.87940967084</v>
          </cell>
          <cell r="H794">
            <v>424.44931521743803</v>
          </cell>
          <cell r="I794">
            <v>1.52171408627514E-3</v>
          </cell>
        </row>
        <row r="795">
          <cell r="A795" t="str">
            <v>D-RLFO</v>
          </cell>
          <cell r="B795" t="str">
            <v>VAR_fout</v>
          </cell>
          <cell r="C795" t="str">
            <v>RLFO</v>
          </cell>
          <cell r="D795">
            <v>60.231959065270878</v>
          </cell>
          <cell r="E795">
            <v>51.320137814571943</v>
          </cell>
          <cell r="F795">
            <v>48.321466439055861</v>
          </cell>
          <cell r="G795">
            <v>23.534918690563643</v>
          </cell>
          <cell r="H795">
            <v>5.6653650586620712</v>
          </cell>
          <cell r="I795">
            <v>0.48487863026767175</v>
          </cell>
        </row>
        <row r="796">
          <cell r="A796" t="str">
            <v>D-RLFO</v>
          </cell>
          <cell r="B796" t="str">
            <v>VAR_fin</v>
          </cell>
          <cell r="C796" t="str">
            <v>LFO</v>
          </cell>
          <cell r="D796">
            <v>61.254988763911079</v>
          </cell>
          <cell r="E796">
            <v>52.191801727507574</v>
          </cell>
          <cell r="F796">
            <v>49.14196525868639</v>
          </cell>
          <cell r="G796">
            <v>23.933234866632809</v>
          </cell>
          <cell r="H796">
            <v>5.7591494602094713</v>
          </cell>
          <cell r="I796">
            <v>2.0647409583109037E-5</v>
          </cell>
        </row>
        <row r="797">
          <cell r="A797" t="str">
            <v>D-RLFO</v>
          </cell>
          <cell r="B797" t="str">
            <v>VAR_fin</v>
          </cell>
          <cell r="C797" t="str">
            <v>BDS</v>
          </cell>
          <cell r="F797">
            <v>2.3307827803430923E-4</v>
          </cell>
          <cell r="G797">
            <v>1.4206396629816186E-3</v>
          </cell>
          <cell r="H797">
            <v>2.4417444278971774E-3</v>
          </cell>
          <cell r="I797">
            <v>0.49309388904467211</v>
          </cell>
        </row>
        <row r="798">
          <cell r="A798" t="str">
            <v>D-SCOM_LTH_CHPBIO</v>
          </cell>
          <cell r="B798" t="str">
            <v>VAR_fout</v>
          </cell>
          <cell r="C798" t="str">
            <v>SCOM_LTH_CHPBIO_ON</v>
          </cell>
          <cell r="D798">
            <v>1.4243212679232855</v>
          </cell>
          <cell r="E798">
            <v>1.542808203029602</v>
          </cell>
        </row>
        <row r="799">
          <cell r="A799" t="str">
            <v>D-SCOM_LTH_CHPBIO</v>
          </cell>
          <cell r="B799" t="str">
            <v>VAR_fout</v>
          </cell>
          <cell r="C799" t="str">
            <v>LTH</v>
          </cell>
          <cell r="E799">
            <v>3.5589505212231365E-2</v>
          </cell>
        </row>
        <row r="800">
          <cell r="A800" t="str">
            <v>D-SCOM_LTH_CHPBIO</v>
          </cell>
          <cell r="B800" t="str">
            <v>VAR_fin</v>
          </cell>
          <cell r="C800" t="str">
            <v>SCOM_LTH_CHPBIO</v>
          </cell>
          <cell r="D800">
            <v>1.4243212679232855</v>
          </cell>
          <cell r="E800">
            <v>1.5783977082418335</v>
          </cell>
        </row>
        <row r="801">
          <cell r="A801" t="str">
            <v>D-SCOM_NKEV_GAS_ELC_CHP</v>
          </cell>
          <cell r="B801" t="str">
            <v>VAR_fout</v>
          </cell>
          <cell r="C801" t="str">
            <v>ELC5</v>
          </cell>
          <cell r="D801">
            <v>0.29600253279854988</v>
          </cell>
          <cell r="E801">
            <v>0.31371854461337062</v>
          </cell>
          <cell r="F801">
            <v>5.3053561622617646E-3</v>
          </cell>
          <cell r="G801">
            <v>1.0278328549886669E-3</v>
          </cell>
          <cell r="H801">
            <v>9.230680268865083E-4</v>
          </cell>
        </row>
        <row r="802">
          <cell r="A802" t="str">
            <v>D-SCOM_NKEV_GAS_ELC_CHP</v>
          </cell>
          <cell r="B802" t="str">
            <v>VAR_fout</v>
          </cell>
          <cell r="C802" t="str">
            <v>SCOM_ELC</v>
          </cell>
          <cell r="D802">
            <v>0.29843281263149696</v>
          </cell>
          <cell r="E802">
            <v>0.31240938400574203</v>
          </cell>
          <cell r="F802">
            <v>5.3032649461651742E-3</v>
          </cell>
          <cell r="G802">
            <v>1.0293614666165192E-3</v>
          </cell>
          <cell r="H802">
            <v>9.2411277776192143E-4</v>
          </cell>
        </row>
        <row r="803">
          <cell r="A803" t="str">
            <v>D-SCOM_NKEV_GAS_ELC_CHP</v>
          </cell>
          <cell r="B803" t="str">
            <v>VAR_fin</v>
          </cell>
          <cell r="C803" t="str">
            <v>SCOM_NKEV_GAS_ELC_CHP</v>
          </cell>
          <cell r="D803">
            <v>0.59443534543004661</v>
          </cell>
          <cell r="E803">
            <v>0.62612792861911226</v>
          </cell>
          <cell r="F803">
            <v>1.0572935086227702E-2</v>
          </cell>
          <cell r="G803">
            <v>2.0194399227131178E-3</v>
          </cell>
          <cell r="H803">
            <v>1.7965336714741678E-3</v>
          </cell>
        </row>
        <row r="804">
          <cell r="A804" t="str">
            <v>RHEM-SHLTHDH</v>
          </cell>
          <cell r="B804" t="str">
            <v>VAR_fout</v>
          </cell>
          <cell r="C804" t="str">
            <v>RHEM-SHLTHD</v>
          </cell>
          <cell r="D804">
            <v>3.3639046109358359</v>
          </cell>
          <cell r="E804">
            <v>3.7887504954514228</v>
          </cell>
          <cell r="F804">
            <v>4.416080288463176</v>
          </cell>
          <cell r="G804">
            <v>5.2324908350961641</v>
          </cell>
          <cell r="H804">
            <v>5.6777314953956468</v>
          </cell>
          <cell r="I804">
            <v>5.1515955192920897</v>
          </cell>
        </row>
        <row r="805">
          <cell r="A805" t="str">
            <v>RHEM-SHLTHDH</v>
          </cell>
          <cell r="B805" t="str">
            <v>VAR_fin</v>
          </cell>
          <cell r="C805" t="str">
            <v>RHEMLTHDHC</v>
          </cell>
          <cell r="D805">
            <v>3.3639046109358359</v>
          </cell>
          <cell r="E805">
            <v>3.7887504954514228</v>
          </cell>
          <cell r="F805">
            <v>4.416080288463176</v>
          </cell>
          <cell r="G805">
            <v>5.2324908350961641</v>
          </cell>
          <cell r="H805">
            <v>5.6777314953956468</v>
          </cell>
          <cell r="I805">
            <v>5.1515955192920897</v>
          </cell>
        </row>
        <row r="806">
          <cell r="A806" t="str">
            <v>RHEM-SHLTHDH</v>
          </cell>
          <cell r="B806" t="str">
            <v>VAR_fin</v>
          </cell>
          <cell r="C806" t="str">
            <v>RHEM_LTH_DH</v>
          </cell>
          <cell r="D806">
            <v>3.3978834453897351</v>
          </cell>
          <cell r="E806">
            <v>3.8270207024761849</v>
          </cell>
          <cell r="F806">
            <v>4.9487658471996054</v>
          </cell>
          <cell r="G806">
            <v>5.8636551532264498</v>
          </cell>
          <cell r="H806">
            <v>6.3626025521745371</v>
          </cell>
          <cell r="I806">
            <v>5.7730019155361179</v>
          </cell>
        </row>
        <row r="807">
          <cell r="A807" t="str">
            <v>RHEM-SHLTHDH</v>
          </cell>
          <cell r="B807" t="str">
            <v>VAR_ncap</v>
          </cell>
          <cell r="C807" t="str">
            <v>-</v>
          </cell>
          <cell r="D807">
            <v>1.63731083467791E-7</v>
          </cell>
          <cell r="E807">
            <v>0.106820848494522</v>
          </cell>
          <cell r="F807">
            <v>0.16832432201386399</v>
          </cell>
          <cell r="G807">
            <v>0.10775840990173299</v>
          </cell>
          <cell r="H807">
            <v>0.12720061572470701</v>
          </cell>
          <cell r="I807">
            <v>0.118859816601966</v>
          </cell>
        </row>
        <row r="808">
          <cell r="A808" t="str">
            <v>RHEM-SHLTHDH</v>
          </cell>
          <cell r="B808" t="str">
            <v>VAR_cap</v>
          </cell>
          <cell r="C808" t="str">
            <v>-</v>
          </cell>
          <cell r="D808">
            <v>0.31562563084277145</v>
          </cell>
          <cell r="E808">
            <v>0.27838154553605199</v>
          </cell>
          <cell r="F808">
            <v>0.40671964510598402</v>
          </cell>
          <cell r="G808">
            <v>0.41679169830669904</v>
          </cell>
          <cell r="H808">
            <v>0.4068463759058869</v>
          </cell>
          <cell r="I808">
            <v>0.40100040343940602</v>
          </cell>
        </row>
        <row r="809">
          <cell r="A809" t="str">
            <v>D-ITOT_SOLELC</v>
          </cell>
          <cell r="B809" t="str">
            <v>VAR_fout</v>
          </cell>
          <cell r="C809" t="str">
            <v>ITOT_ELC</v>
          </cell>
          <cell r="D809">
            <v>3.5106258639014367</v>
          </cell>
          <cell r="E809">
            <v>4.8452186840423277</v>
          </cell>
          <cell r="F809">
            <v>11.155117912170912</v>
          </cell>
          <cell r="G809">
            <v>18.879928432769706</v>
          </cell>
          <cell r="H809">
            <v>32.984674980981488</v>
          </cell>
          <cell r="I809">
            <v>42.788463571496038</v>
          </cell>
        </row>
        <row r="810">
          <cell r="A810" t="str">
            <v>D-ITOT_SOLELC</v>
          </cell>
          <cell r="B810" t="str">
            <v>VAR_fout</v>
          </cell>
          <cell r="C810" t="str">
            <v>ELC5</v>
          </cell>
          <cell r="D810">
            <v>7.3281358060968754E-3</v>
          </cell>
          <cell r="E810">
            <v>4.6285578727923854E-3</v>
          </cell>
          <cell r="F810">
            <v>4.2344681031106493E-3</v>
          </cell>
          <cell r="G810">
            <v>4.3476540340737863E-2</v>
          </cell>
          <cell r="H810">
            <v>7.7157390595522459</v>
          </cell>
          <cell r="I810">
            <v>12.622641047283981</v>
          </cell>
        </row>
        <row r="811">
          <cell r="A811" t="str">
            <v>D-ITOT_SOLELC</v>
          </cell>
          <cell r="B811" t="str">
            <v>VAR_fin</v>
          </cell>
          <cell r="C811" t="str">
            <v>ITOT_SOL_ELC</v>
          </cell>
          <cell r="D811">
            <v>3.517953999707534</v>
          </cell>
          <cell r="E811">
            <v>4.8498377393898808</v>
          </cell>
          <cell r="F811">
            <v>11.159352380274012</v>
          </cell>
          <cell r="G811">
            <v>18.923404973110447</v>
          </cell>
          <cell r="H811">
            <v>40.70041404053373</v>
          </cell>
          <cell r="I811">
            <v>55.411104618780051</v>
          </cell>
        </row>
        <row r="812">
          <cell r="A812" t="str">
            <v>D-SWOD</v>
          </cell>
          <cell r="B812" t="str">
            <v>VAR_fout</v>
          </cell>
          <cell r="C812" t="str">
            <v>SWOD</v>
          </cell>
          <cell r="D812">
            <v>8.5743836214710019</v>
          </cell>
          <cell r="E812">
            <v>7.0159668003863764</v>
          </cell>
          <cell r="F812">
            <v>10.535524397046791</v>
          </cell>
          <cell r="G812">
            <v>10.015080036030641</v>
          </cell>
          <cell r="H812">
            <v>7.4660181532576333</v>
          </cell>
          <cell r="I812">
            <v>4.9937886219113361</v>
          </cell>
        </row>
        <row r="813">
          <cell r="A813" t="str">
            <v>D-SWOD</v>
          </cell>
          <cell r="B813" t="str">
            <v>VAR_fin</v>
          </cell>
          <cell r="C813" t="str">
            <v>WOD</v>
          </cell>
          <cell r="D813">
            <v>8.5743836214710019</v>
          </cell>
          <cell r="E813">
            <v>7.0159668003863764</v>
          </cell>
          <cell r="F813">
            <v>10.535524397046791</v>
          </cell>
          <cell r="G813">
            <v>10.015080036030641</v>
          </cell>
          <cell r="H813">
            <v>7.4660181532576333</v>
          </cell>
          <cell r="I813">
            <v>4.9937886219113361</v>
          </cell>
        </row>
        <row r="814">
          <cell r="A814" t="str">
            <v>ITOT-PROCESSCO2CCS</v>
          </cell>
          <cell r="B814" t="str">
            <v>VAR_fout</v>
          </cell>
          <cell r="C814" t="str">
            <v>CO2_O</v>
          </cell>
          <cell r="H814">
            <v>0.10726296986643172</v>
          </cell>
          <cell r="I814">
            <v>1031.917409386763</v>
          </cell>
        </row>
        <row r="815">
          <cell r="A815" t="str">
            <v>ITOT-PROCESSCO2CCS</v>
          </cell>
          <cell r="B815" t="str">
            <v>VAR_fout</v>
          </cell>
          <cell r="C815" t="str">
            <v>CO2</v>
          </cell>
          <cell r="H815">
            <v>-0.107262969866432</v>
          </cell>
          <cell r="I815">
            <v>-1031.91740938676</v>
          </cell>
        </row>
        <row r="816">
          <cell r="A816" t="str">
            <v>ITOT-PROCESSCO2CCS</v>
          </cell>
          <cell r="B816" t="str">
            <v>VAR_fin</v>
          </cell>
          <cell r="C816" t="str">
            <v>ITOT_ELC</v>
          </cell>
          <cell r="H816">
            <v>2.2714511265832629E-4</v>
          </cell>
          <cell r="I816">
            <v>2.1852368669366755</v>
          </cell>
        </row>
        <row r="817">
          <cell r="A817" t="str">
            <v>ITOT-PROCESSCO2CCS</v>
          </cell>
          <cell r="B817" t="str">
            <v>VAR_fin</v>
          </cell>
          <cell r="C817" t="str">
            <v>ITOT_LTH_DH</v>
          </cell>
          <cell r="H817">
            <v>8.8334210478237973E-5</v>
          </cell>
          <cell r="I817">
            <v>0.84981433714204013</v>
          </cell>
        </row>
        <row r="818">
          <cell r="A818" t="str">
            <v>ITOT-PROCESSCO2CCS</v>
          </cell>
          <cell r="B818" t="str">
            <v>VAR_ncap</v>
          </cell>
          <cell r="C818" t="str">
            <v>-</v>
          </cell>
          <cell r="H818">
            <v>0.33246508092780902</v>
          </cell>
          <cell r="I818">
            <v>2910.55590047236</v>
          </cell>
        </row>
        <row r="819">
          <cell r="A819" t="str">
            <v>ITOT-PROCESSCO2CCS</v>
          </cell>
          <cell r="B819" t="str">
            <v>VAR_cap</v>
          </cell>
          <cell r="C819" t="str">
            <v>-</v>
          </cell>
          <cell r="H819">
            <v>0.33246508092780902</v>
          </cell>
          <cell r="I819">
            <v>2910.88836555329</v>
          </cell>
        </row>
        <row r="820">
          <cell r="A820" t="str">
            <v>D-RSH2R</v>
          </cell>
          <cell r="B820" t="str">
            <v>VAR_fout</v>
          </cell>
          <cell r="C820" t="str">
            <v>RSH2</v>
          </cell>
          <cell r="G820">
            <v>9.7534674925929218E-4</v>
          </cell>
          <cell r="H820">
            <v>6.5323982665435457E-4</v>
          </cell>
          <cell r="I820">
            <v>5.5842741578103385E-4</v>
          </cell>
        </row>
        <row r="821">
          <cell r="A821" t="str">
            <v>D-RSH2R</v>
          </cell>
          <cell r="B821" t="str">
            <v>VAR_fin</v>
          </cell>
          <cell r="C821" t="str">
            <v>H2</v>
          </cell>
          <cell r="G821">
            <v>9.7534674925929218E-4</v>
          </cell>
          <cell r="H821">
            <v>6.5323982665435457E-4</v>
          </cell>
          <cell r="I821">
            <v>5.5842741578103385E-4</v>
          </cell>
        </row>
        <row r="822">
          <cell r="A822" t="str">
            <v>D-RSH2R</v>
          </cell>
          <cell r="B822" t="str">
            <v>VAR_ncap</v>
          </cell>
          <cell r="C822" t="str">
            <v>-</v>
          </cell>
          <cell r="G822">
            <v>1.4615330520808501E-4</v>
          </cell>
          <cell r="H822">
            <v>1.8377838681928101E-4</v>
          </cell>
          <cell r="I822">
            <v>7.6334925470397398E-5</v>
          </cell>
        </row>
        <row r="823">
          <cell r="A823" t="str">
            <v>D-RSH2R</v>
          </cell>
          <cell r="B823" t="str">
            <v>VAR_cap</v>
          </cell>
          <cell r="C823" t="str">
            <v>-</v>
          </cell>
          <cell r="G823">
            <v>1.4615330520808501E-4</v>
          </cell>
          <cell r="H823">
            <v>2.08239718612274E-4</v>
          </cell>
          <cell r="I823">
            <v>1.3928292764840201E-4</v>
          </cell>
        </row>
        <row r="824">
          <cell r="A824" t="str">
            <v>SCOM-SHLTHCHPBIO</v>
          </cell>
          <cell r="B824" t="str">
            <v>VAR_fout</v>
          </cell>
          <cell r="C824" t="str">
            <v>SCOM-SHLTHC-BIO</v>
          </cell>
          <cell r="D824">
            <v>1.4100780552440522</v>
          </cell>
          <cell r="E824">
            <v>1.5273801209993056</v>
          </cell>
        </row>
        <row r="825">
          <cell r="A825" t="str">
            <v>SCOM-SHLTHCHPBIO</v>
          </cell>
          <cell r="B825" t="str">
            <v>VAR_fin</v>
          </cell>
          <cell r="C825" t="str">
            <v>SCOM_LTH_CHPBIO_ON</v>
          </cell>
          <cell r="D825">
            <v>1.4243212679232855</v>
          </cell>
          <cell r="E825">
            <v>1.542808203029602</v>
          </cell>
        </row>
        <row r="826">
          <cell r="A826" t="str">
            <v>SCOM-SHLTHCHPBIO</v>
          </cell>
          <cell r="B826" t="str">
            <v>VAR_fin</v>
          </cell>
          <cell r="C826" t="str">
            <v>SCOMLTHCHPC</v>
          </cell>
          <cell r="D826">
            <v>1.4100780552440522</v>
          </cell>
          <cell r="E826">
            <v>1.5273801209993056</v>
          </cell>
        </row>
        <row r="827">
          <cell r="A827" t="str">
            <v>SCOM-SHLTHCHPBIO</v>
          </cell>
          <cell r="B827" t="str">
            <v>VAR_ncap</v>
          </cell>
          <cell r="C827" t="str">
            <v>-</v>
          </cell>
          <cell r="D827">
            <v>6.1675403486918697E-7</v>
          </cell>
          <cell r="E827">
            <v>6.8794503730534695E-2</v>
          </cell>
          <cell r="F827">
            <v>5.3773144918658797E-2</v>
          </cell>
          <cell r="G827">
            <v>4.10947063607656E-2</v>
          </cell>
          <cell r="H827">
            <v>9.0346866764961495E-2</v>
          </cell>
          <cell r="I827">
            <v>3.8497154073752302E-2</v>
          </cell>
        </row>
        <row r="828">
          <cell r="A828" t="str">
            <v>SCOM-SHLTHCHPBIO</v>
          </cell>
          <cell r="B828" t="str">
            <v>VAR_cap</v>
          </cell>
          <cell r="C828" t="str">
            <v>-</v>
          </cell>
          <cell r="D828">
            <v>0.10914030433307387</v>
          </cell>
          <cell r="E828">
            <v>0.1209553163424488</v>
          </cell>
          <cell r="F828">
            <v>0.103284812141757</v>
          </cell>
          <cell r="G828">
            <v>9.0142963872890003E-2</v>
          </cell>
          <cell r="H828">
            <v>0.1315934228584342</v>
          </cell>
          <cell r="I828">
            <v>7.7087850615810583E-2</v>
          </cell>
        </row>
        <row r="829">
          <cell r="A829" t="str">
            <v>D-RSH2</v>
          </cell>
          <cell r="B829" t="str">
            <v>VAR_fout</v>
          </cell>
          <cell r="C829" t="str">
            <v>RSH2</v>
          </cell>
          <cell r="G829">
            <v>9.5685654662121321E-4</v>
          </cell>
          <cell r="H829">
            <v>6.2556138337211277E-4</v>
          </cell>
          <cell r="I829">
            <v>6.2520124114416533E-4</v>
          </cell>
        </row>
        <row r="830">
          <cell r="A830" t="str">
            <v>D-RSH2</v>
          </cell>
          <cell r="B830" t="str">
            <v>VAR_fin</v>
          </cell>
          <cell r="C830" t="str">
            <v>H2</v>
          </cell>
          <cell r="G830">
            <v>9.6414625107127503E-4</v>
          </cell>
          <cell r="H830">
            <v>6.3032715271994007E-4</v>
          </cell>
          <cell r="I830">
            <v>6.2996426678875819E-4</v>
          </cell>
        </row>
        <row r="831">
          <cell r="A831" t="str">
            <v>D-RSH2</v>
          </cell>
          <cell r="B831" t="str">
            <v>VAR_ncap</v>
          </cell>
          <cell r="C831" t="str">
            <v>-</v>
          </cell>
          <cell r="G831">
            <v>1.8586747814288801E-4</v>
          </cell>
          <cell r="H831">
            <v>3.6454550062960301E-6</v>
          </cell>
          <cell r="I831">
            <v>2.8000628507922301E-6</v>
          </cell>
        </row>
        <row r="832">
          <cell r="A832" t="str">
            <v>D-RSH2</v>
          </cell>
          <cell r="B832" t="str">
            <v>VAR_cap</v>
          </cell>
          <cell r="C832" t="str">
            <v>-</v>
          </cell>
          <cell r="G832">
            <v>1.8586747814288801E-4</v>
          </cell>
          <cell r="H832">
            <v>2.6437316306771199E-4</v>
          </cell>
          <cell r="I832">
            <v>2.6717322591850401E-4</v>
          </cell>
        </row>
        <row r="833">
          <cell r="A833" t="str">
            <v>RHES-SHNGABR</v>
          </cell>
          <cell r="B833" t="str">
            <v>VAR_fout</v>
          </cell>
          <cell r="C833" t="str">
            <v>CO2_R</v>
          </cell>
          <cell r="D833">
            <v>1043.1363976677501</v>
          </cell>
          <cell r="E833">
            <v>1158.14794554222</v>
          </cell>
          <cell r="F833">
            <v>646.38286861499398</v>
          </cell>
          <cell r="G833">
            <v>454.27869629031198</v>
          </cell>
          <cell r="H833">
            <v>144.15108353083701</v>
          </cell>
          <cell r="I833">
            <v>59.735495760179703</v>
          </cell>
        </row>
        <row r="834">
          <cell r="A834" t="str">
            <v>RHES-SHNGABR</v>
          </cell>
          <cell r="B834" t="str">
            <v>VAR_fout</v>
          </cell>
          <cell r="C834" t="str">
            <v>RHES-SHNGA</v>
          </cell>
          <cell r="D834">
            <v>17.570559889793742</v>
          </cell>
          <cell r="E834">
            <v>19.507811139452226</v>
          </cell>
          <cell r="F834">
            <v>10.515831849628826</v>
          </cell>
          <cell r="G834">
            <v>7.3905399029115095</v>
          </cell>
          <cell r="H834">
            <v>2.3451558340339966</v>
          </cell>
          <cell r="I834">
            <v>0.99182033428281469</v>
          </cell>
        </row>
        <row r="835">
          <cell r="A835" t="str">
            <v>RHES-SHNGABR</v>
          </cell>
          <cell r="B835" t="str">
            <v>VAR_fin</v>
          </cell>
          <cell r="C835" t="str">
            <v>RNGA</v>
          </cell>
          <cell r="D835">
            <v>18.49532619978287</v>
          </cell>
          <cell r="E835">
            <v>20.534538041528673</v>
          </cell>
          <cell r="F835">
            <v>11.460689159840321</v>
          </cell>
          <cell r="G835">
            <v>8.0545868136580108</v>
          </cell>
          <cell r="H835">
            <v>2.5558702753694567</v>
          </cell>
          <cell r="I835">
            <v>1.0591399957478691</v>
          </cell>
        </row>
        <row r="836">
          <cell r="A836" t="str">
            <v>RHES-SHNGABR</v>
          </cell>
          <cell r="B836" t="str">
            <v>VAR_ncap</v>
          </cell>
          <cell r="C836" t="str">
            <v>-</v>
          </cell>
          <cell r="E836">
            <v>0.154105903586749</v>
          </cell>
          <cell r="F836">
            <v>2.6186413471001701E-7</v>
          </cell>
          <cell r="G836">
            <v>6.5968415898012304E-7</v>
          </cell>
          <cell r="H836">
            <v>0.173658760022215</v>
          </cell>
          <cell r="I836">
            <v>3.7741180653763201E-7</v>
          </cell>
        </row>
        <row r="837">
          <cell r="A837" t="str">
            <v>RHES-SHNGABR</v>
          </cell>
          <cell r="B837" t="str">
            <v>VAR_cap</v>
          </cell>
          <cell r="C837" t="str">
            <v>-</v>
          </cell>
          <cell r="D837">
            <v>1.4219190615860799</v>
          </cell>
          <cell r="E837">
            <v>1.5760247775538154</v>
          </cell>
          <cell r="F837">
            <v>1.3193302842329939</v>
          </cell>
          <cell r="G837">
            <v>1.3192305967228291</v>
          </cell>
          <cell r="H837">
            <v>0.18985434008325106</v>
          </cell>
          <cell r="I837">
            <v>9.9511659387987617E-2</v>
          </cell>
        </row>
        <row r="838">
          <cell r="A838" t="str">
            <v>SCOM-SHLTHCHPHFC</v>
          </cell>
          <cell r="B838" t="str">
            <v>VAR_ncap</v>
          </cell>
          <cell r="C838" t="str">
            <v>-</v>
          </cell>
          <cell r="G838">
            <v>4.6740400189391898E-4</v>
          </cell>
          <cell r="H838">
            <v>6.74884235639099E-4</v>
          </cell>
          <cell r="I838">
            <v>2.12938714807463E-4</v>
          </cell>
        </row>
        <row r="839">
          <cell r="A839" t="str">
            <v>SCOM-SHLTHCHPHFC</v>
          </cell>
          <cell r="B839" t="str">
            <v>VAR_cap</v>
          </cell>
          <cell r="C839" t="str">
            <v>-</v>
          </cell>
          <cell r="G839">
            <v>4.6740400189391898E-4</v>
          </cell>
          <cell r="H839">
            <v>1.0185824803757479E-3</v>
          </cell>
          <cell r="I839">
            <v>3.7583932101665097E-4</v>
          </cell>
        </row>
        <row r="840">
          <cell r="A840" t="str">
            <v>RHSA-WHNGABR</v>
          </cell>
          <cell r="B840" t="str">
            <v>VAR_fout</v>
          </cell>
          <cell r="C840" t="str">
            <v>RHSA-WHNGA</v>
          </cell>
          <cell r="D840">
            <v>6.3804763395022199</v>
          </cell>
          <cell r="E840">
            <v>5.27870563276071</v>
          </cell>
          <cell r="F840">
            <v>5.2233936526077134</v>
          </cell>
          <cell r="G840">
            <v>3.436749725398403</v>
          </cell>
          <cell r="H840">
            <v>1.4691134205409493</v>
          </cell>
          <cell r="I840">
            <v>0.69979200848235468</v>
          </cell>
        </row>
        <row r="841">
          <cell r="A841" t="str">
            <v>RHSA-WHNGABR</v>
          </cell>
          <cell r="B841" t="str">
            <v>VAR_fout</v>
          </cell>
          <cell r="C841" t="str">
            <v>CO2_R</v>
          </cell>
          <cell r="D841">
            <v>479.81182073056698</v>
          </cell>
          <cell r="E841">
            <v>394.85278207918299</v>
          </cell>
          <cell r="F841">
            <v>556.972252756643</v>
          </cell>
          <cell r="G841">
            <v>349.995200110827</v>
          </cell>
          <cell r="H841">
            <v>147.81655900264701</v>
          </cell>
          <cell r="I841">
            <v>69.442010370702505</v>
          </cell>
        </row>
        <row r="842">
          <cell r="A842" t="str">
            <v>RHSA-WHNGABR</v>
          </cell>
          <cell r="B842" t="str">
            <v>VAR_fin</v>
          </cell>
          <cell r="C842" t="str">
            <v>RNGA</v>
          </cell>
          <cell r="D842">
            <v>8.5073017860029552</v>
          </cell>
          <cell r="E842">
            <v>7.0009358524677863</v>
          </cell>
          <cell r="F842">
            <v>9.8753945524227404</v>
          </cell>
          <cell r="G842">
            <v>6.205588654447288</v>
          </cell>
          <cell r="H842">
            <v>2.62086097522424</v>
          </cell>
          <cell r="I842">
            <v>1.2312413186294784</v>
          </cell>
        </row>
        <row r="843">
          <cell r="A843" t="str">
            <v>RHSA-WHNGABR</v>
          </cell>
          <cell r="B843" t="str">
            <v>VAR_ncap</v>
          </cell>
          <cell r="C843" t="str">
            <v>-</v>
          </cell>
          <cell r="E843">
            <v>7.6346177216982397E-7</v>
          </cell>
          <cell r="F843">
            <v>5.6313297877113704E-7</v>
          </cell>
          <cell r="G843">
            <v>8.8541100227645199E-7</v>
          </cell>
          <cell r="H843">
            <v>5.0032841391077297E-2</v>
          </cell>
          <cell r="I843">
            <v>1.5213255435488199E-6</v>
          </cell>
        </row>
        <row r="844">
          <cell r="A844" t="str">
            <v>RHSA-WHNGABR</v>
          </cell>
          <cell r="B844" t="str">
            <v>VAR_cap</v>
          </cell>
          <cell r="C844" t="str">
            <v>-</v>
          </cell>
          <cell r="D844">
            <v>0.43610075802020798</v>
          </cell>
          <cell r="E844">
            <v>0.42803313416640842</v>
          </cell>
          <cell r="F844">
            <v>0.4274969748215649</v>
          </cell>
          <cell r="G844">
            <v>0.42648509201829299</v>
          </cell>
          <cell r="H844">
            <v>0.10863340320952374</v>
          </cell>
          <cell r="I844">
            <v>6.1096103786441903E-2</v>
          </cell>
        </row>
        <row r="845">
          <cell r="A845" t="str">
            <v>ITOT-SWHWSTBR</v>
          </cell>
          <cell r="B845" t="str">
            <v>VAR_fout</v>
          </cell>
          <cell r="C845" t="str">
            <v>ITOT-SWH</v>
          </cell>
          <cell r="D845">
            <v>4.1173931982380569</v>
          </cell>
          <cell r="E845">
            <v>4.2663697282865884</v>
          </cell>
          <cell r="F845">
            <v>2.9612733629666783</v>
          </cell>
          <cell r="G845">
            <v>3.1365761925957028</v>
          </cell>
          <cell r="H845">
            <v>3.1031997750854781</v>
          </cell>
          <cell r="I845">
            <v>1.4879024573294006E-4</v>
          </cell>
        </row>
        <row r="846">
          <cell r="A846" t="str">
            <v>ITOT-SWHWSTBR</v>
          </cell>
          <cell r="B846" t="str">
            <v>VAR_fout</v>
          </cell>
          <cell r="C846" t="str">
            <v>CO2_I</v>
          </cell>
          <cell r="D846">
            <v>723.66304696305303</v>
          </cell>
          <cell r="E846">
            <v>749.84680072915796</v>
          </cell>
          <cell r="F846">
            <v>520.46622743050705</v>
          </cell>
          <cell r="G846">
            <v>551.27702778954801</v>
          </cell>
          <cell r="H846">
            <v>545.41086956047798</v>
          </cell>
          <cell r="I846">
            <v>2.53818654485603E-2</v>
          </cell>
        </row>
        <row r="847">
          <cell r="A847" t="str">
            <v>ITOT-SWHWSTBR</v>
          </cell>
          <cell r="B847" t="str">
            <v>VAR_fin</v>
          </cell>
          <cell r="C847" t="str">
            <v>IWST</v>
          </cell>
          <cell r="D847">
            <v>7.7980931784811709</v>
          </cell>
          <cell r="E847">
            <v>8.0802456975124795</v>
          </cell>
          <cell r="F847">
            <v>5.6084722783459791</v>
          </cell>
          <cell r="G847">
            <v>5.9404852132494339</v>
          </cell>
          <cell r="H847">
            <v>5.8772723012982544</v>
          </cell>
          <cell r="I847">
            <v>2.7351148112672786E-4</v>
          </cell>
        </row>
        <row r="848">
          <cell r="A848" t="str">
            <v>ITOT-SWHWSTBR</v>
          </cell>
          <cell r="B848" t="str">
            <v>VAR_ncap</v>
          </cell>
          <cell r="C848" t="str">
            <v>-</v>
          </cell>
          <cell r="E848">
            <v>1.37543086751581E-5</v>
          </cell>
          <cell r="F848">
            <v>1.45506573349556E-5</v>
          </cell>
          <cell r="G848">
            <v>0.156095123640101</v>
          </cell>
          <cell r="H848">
            <v>9.7944354467890904E-2</v>
          </cell>
          <cell r="I848">
            <v>1.6009275108028499E-5</v>
          </cell>
        </row>
        <row r="849">
          <cell r="A849" t="str">
            <v>ITOT-SWHWSTBR</v>
          </cell>
          <cell r="B849" t="str">
            <v>VAR_cap</v>
          </cell>
          <cell r="C849" t="str">
            <v>-</v>
          </cell>
          <cell r="D849">
            <v>0.35954682816669398</v>
          </cell>
          <cell r="E849">
            <v>0.29857167578331745</v>
          </cell>
          <cell r="F849">
            <v>0.21870095175853413</v>
          </cell>
          <cell r="G849">
            <v>0.28887831520281398</v>
          </cell>
          <cell r="H849">
            <v>0.2169483715190994</v>
          </cell>
          <cell r="I849">
            <v>1.3663181198109164E-5</v>
          </cell>
        </row>
        <row r="850">
          <cell r="A850" t="str">
            <v>SCOM-SHSTG-ELC</v>
          </cell>
          <cell r="B850" t="str">
            <v>VAR_fout</v>
          </cell>
          <cell r="C850" t="str">
            <v>SCOM-SHAELCB</v>
          </cell>
          <cell r="D850">
            <v>8.2386782499586537E-5</v>
          </cell>
          <cell r="E850">
            <v>5.7457098656615738E-4</v>
          </cell>
          <cell r="F850">
            <v>9.9498823245043846E-5</v>
          </cell>
          <cell r="G850">
            <v>7.5039914535350604E-5</v>
          </cell>
          <cell r="H850">
            <v>7.8783797486835176E-5</v>
          </cell>
          <cell r="I850">
            <v>2.1926312476016653E-5</v>
          </cell>
        </row>
        <row r="851">
          <cell r="A851" t="str">
            <v>SCOM-SHSTG-ELC</v>
          </cell>
          <cell r="B851" t="str">
            <v>VAR_fin</v>
          </cell>
          <cell r="C851" t="str">
            <v>SCOM-SHAELCB</v>
          </cell>
          <cell r="D851">
            <v>6.8889096544344185E-5</v>
          </cell>
          <cell r="E851">
            <v>7.4300249631487894E-4</v>
          </cell>
          <cell r="F851">
            <v>1.0562319326774762E-4</v>
          </cell>
          <cell r="G851">
            <v>8.8334079745818617E-5</v>
          </cell>
          <cell r="H851">
            <v>8.6543998961244401E-5</v>
          </cell>
          <cell r="I851">
            <v>2.1386293503253983E-5</v>
          </cell>
        </row>
        <row r="852">
          <cell r="A852" t="str">
            <v>SCOM-SHSTG-ELC</v>
          </cell>
          <cell r="B852" t="str">
            <v>VAR_ncap</v>
          </cell>
          <cell r="C852" t="str">
            <v>-</v>
          </cell>
          <cell r="D852">
            <v>9.1389597130643804E-3</v>
          </cell>
          <cell r="E852">
            <v>7.3214774354082599E-5</v>
          </cell>
          <cell r="F852">
            <v>1.74681891390435E-3</v>
          </cell>
          <cell r="G852">
            <v>1.32660127276373E-4</v>
          </cell>
          <cell r="H852">
            <v>3.42239876864576E-3</v>
          </cell>
          <cell r="I852">
            <v>2.1502053407148399E-4</v>
          </cell>
        </row>
        <row r="853">
          <cell r="A853" t="str">
            <v>SCOM-SHSTG-ELC</v>
          </cell>
          <cell r="B853" t="str">
            <v>VAR_cap</v>
          </cell>
          <cell r="C853" t="str">
            <v>-</v>
          </cell>
          <cell r="D853">
            <v>9.1389597130643804E-3</v>
          </cell>
          <cell r="E853">
            <v>7.8657647098635299E-3</v>
          </cell>
          <cell r="F853">
            <v>9.5786958712502195E-3</v>
          </cell>
          <cell r="G853">
            <v>9.5604881555247309E-3</v>
          </cell>
          <cell r="H853">
            <v>7.6100433656585411E-3</v>
          </cell>
          <cell r="I853">
            <v>4.2175660085484873E-3</v>
          </cell>
        </row>
        <row r="854">
          <cell r="A854" t="str">
            <v>SCOM-SHNGABR</v>
          </cell>
          <cell r="B854" t="str">
            <v>VAR_fout</v>
          </cell>
          <cell r="C854" t="str">
            <v>CO2_S</v>
          </cell>
          <cell r="D854">
            <v>1440.9467260886399</v>
          </cell>
          <cell r="E854">
            <v>1508.6882940716</v>
          </cell>
          <cell r="F854">
            <v>1290.7288575490099</v>
          </cell>
          <cell r="G854">
            <v>953.12872946674099</v>
          </cell>
          <cell r="H854">
            <v>349.23699233594903</v>
          </cell>
          <cell r="I854">
            <v>139.87895561484899</v>
          </cell>
        </row>
        <row r="855">
          <cell r="A855" t="str">
            <v>SCOM-SHNGABR</v>
          </cell>
          <cell r="B855" t="str">
            <v>VAR_fout</v>
          </cell>
          <cell r="C855" t="str">
            <v>SCOM-SHNGA</v>
          </cell>
          <cell r="D855">
            <v>24.189727369452513</v>
          </cell>
          <cell r="E855">
            <v>25.326931147648423</v>
          </cell>
          <cell r="F855">
            <v>19.52779915920188</v>
          </cell>
          <cell r="G855">
            <v>14.650133280815719</v>
          </cell>
          <cell r="H855">
            <v>5.3679721596214955</v>
          </cell>
          <cell r="I855">
            <v>2.1500194880133003</v>
          </cell>
        </row>
        <row r="856">
          <cell r="A856" t="str">
            <v>SCOM-SHNGABR</v>
          </cell>
          <cell r="B856" t="str">
            <v>VAR_fin</v>
          </cell>
          <cell r="C856" t="str">
            <v>SNGA</v>
          </cell>
          <cell r="D856">
            <v>25.548700817174527</v>
          </cell>
          <cell r="E856">
            <v>26.749792448078082</v>
          </cell>
          <cell r="F856">
            <v>22.885263431720062</v>
          </cell>
          <cell r="G856">
            <v>16.899445557920941</v>
          </cell>
          <cell r="H856">
            <v>6.1921452541835027</v>
          </cell>
          <cell r="I856">
            <v>2.4801233265044225</v>
          </cell>
        </row>
        <row r="857">
          <cell r="A857" t="str">
            <v>SCOM-SHNGABR</v>
          </cell>
          <cell r="B857" t="str">
            <v>VAR_ncap</v>
          </cell>
          <cell r="C857" t="str">
            <v>-</v>
          </cell>
          <cell r="D857">
            <v>5.1171469486592501E-7</v>
          </cell>
          <cell r="E857">
            <v>2.1015069479008501E-6</v>
          </cell>
          <cell r="F857">
            <v>1.70280719217403E-6</v>
          </cell>
          <cell r="G857">
            <v>3.0390251760383298E-6</v>
          </cell>
          <cell r="H857">
            <v>1.8931469318339301E-4</v>
          </cell>
          <cell r="I857">
            <v>1.4272923625908799E-5</v>
          </cell>
        </row>
        <row r="858">
          <cell r="A858" t="str">
            <v>SCOM-SHNGABR</v>
          </cell>
          <cell r="B858" t="str">
            <v>VAR_cap</v>
          </cell>
          <cell r="C858" t="str">
            <v>-</v>
          </cell>
          <cell r="D858">
            <v>2.774682009589915</v>
          </cell>
          <cell r="E858">
            <v>2.7455754361135005</v>
          </cell>
          <cell r="F858">
            <v>2.4913706799020208</v>
          </cell>
          <cell r="G858">
            <v>2.4912212301813121</v>
          </cell>
          <cell r="H858">
            <v>0.58648423931321969</v>
          </cell>
          <cell r="I858">
            <v>0.24814802366453231</v>
          </cell>
        </row>
        <row r="859">
          <cell r="A859" t="str">
            <v>RHEM-SHELCHP</v>
          </cell>
          <cell r="B859" t="str">
            <v>VAR_fout</v>
          </cell>
          <cell r="C859" t="str">
            <v>RHEM-SHAELCH</v>
          </cell>
          <cell r="D859">
            <v>9.9026076812396173</v>
          </cell>
          <cell r="E859">
            <v>11.655250001949472</v>
          </cell>
          <cell r="F859">
            <v>9.9808518554949543</v>
          </cell>
          <cell r="G859">
            <v>14.754821552031258</v>
          </cell>
          <cell r="H859">
            <v>21.51330310543506</v>
          </cell>
          <cell r="I859">
            <v>21.365252460694254</v>
          </cell>
        </row>
        <row r="860">
          <cell r="A860" t="str">
            <v>RHEM-SHELCHP</v>
          </cell>
          <cell r="B860" t="str">
            <v>VAR_fin</v>
          </cell>
          <cell r="C860" t="str">
            <v>RHEMELCHPC</v>
          </cell>
          <cell r="D860">
            <v>9.9026076812396173</v>
          </cell>
          <cell r="E860">
            <v>11.655250001949472</v>
          </cell>
          <cell r="F860">
            <v>9.9808518554949543</v>
          </cell>
          <cell r="G860">
            <v>14.754821552031258</v>
          </cell>
          <cell r="H860">
            <v>21.51330310543506</v>
          </cell>
          <cell r="I860">
            <v>21.365252460694254</v>
          </cell>
        </row>
        <row r="861">
          <cell r="A861" t="str">
            <v>RHEM-SHELCHP</v>
          </cell>
          <cell r="B861" t="str">
            <v>VAR_fin</v>
          </cell>
          <cell r="C861" t="str">
            <v>RHEM_ELC</v>
          </cell>
          <cell r="D861">
            <v>3.0945649003873821</v>
          </cell>
          <cell r="E861">
            <v>3.5825563530582403</v>
          </cell>
          <cell r="F861">
            <v>3.2147454205816119</v>
          </cell>
          <cell r="G861">
            <v>4.3614134020162041</v>
          </cell>
          <cell r="H861">
            <v>5.6890943439642312</v>
          </cell>
          <cell r="I861">
            <v>5.1544524137194427</v>
          </cell>
        </row>
        <row r="862">
          <cell r="A862" t="str">
            <v>RHEM-SHELCHP</v>
          </cell>
          <cell r="B862" t="str">
            <v>VAR_ncap</v>
          </cell>
          <cell r="C862" t="str">
            <v>-</v>
          </cell>
          <cell r="D862">
            <v>1.4756667809113301E-6</v>
          </cell>
          <cell r="E862">
            <v>0.12376098644104699</v>
          </cell>
          <cell r="F862">
            <v>1.0712583480115001E-6</v>
          </cell>
          <cell r="G862">
            <v>0.21895152586813199</v>
          </cell>
          <cell r="H862">
            <v>0.57942923151996895</v>
          </cell>
          <cell r="I862">
            <v>0.75443233867054604</v>
          </cell>
        </row>
        <row r="863">
          <cell r="A863" t="str">
            <v>RHEM-SHELCHP</v>
          </cell>
          <cell r="B863" t="str">
            <v>VAR_cap</v>
          </cell>
          <cell r="C863" t="str">
            <v>-</v>
          </cell>
          <cell r="D863">
            <v>0.69925342605877994</v>
          </cell>
          <cell r="E863">
            <v>0.82301424440684834</v>
          </cell>
          <cell r="F863">
            <v>0.82301156887655169</v>
          </cell>
          <cell r="G863">
            <v>1.0419653783671514</v>
          </cell>
          <cell r="H863">
            <v>1.5192809690589555</v>
          </cell>
          <cell r="I863">
            <v>1.5092407198097111</v>
          </cell>
        </row>
        <row r="864">
          <cell r="A864" t="str">
            <v>RHNM-SHSTG-ELC</v>
          </cell>
          <cell r="B864" t="str">
            <v>VAR_fout</v>
          </cell>
          <cell r="C864" t="str">
            <v>RHNM-SHAELCB</v>
          </cell>
          <cell r="E864">
            <v>5.3935099649797556E-6</v>
          </cell>
          <cell r="F864">
            <v>2.2421867850862711E-5</v>
          </cell>
          <cell r="G864">
            <v>1.698746024797038E-4</v>
          </cell>
          <cell r="H864">
            <v>2.9138816526717132E-4</v>
          </cell>
          <cell r="I864">
            <v>2.383065740372661E-4</v>
          </cell>
        </row>
        <row r="865">
          <cell r="A865" t="str">
            <v>RHNM-SHSTG-ELC</v>
          </cell>
          <cell r="B865" t="str">
            <v>VAR_fin</v>
          </cell>
          <cell r="C865" t="str">
            <v>RHNM-SHAELCB</v>
          </cell>
          <cell r="E865">
            <v>4.9635250220339994E-6</v>
          </cell>
          <cell r="F865">
            <v>1.113876596189637E-5</v>
          </cell>
          <cell r="G865">
            <v>1.6006094864753713E-4</v>
          </cell>
          <cell r="H865">
            <v>2.8911806079394664E-4</v>
          </cell>
          <cell r="I865">
            <v>2.3974586573576078E-4</v>
          </cell>
        </row>
        <row r="866">
          <cell r="A866" t="str">
            <v>RHNM-SHSTG-ELC</v>
          </cell>
          <cell r="B866" t="str">
            <v>VAR_ncap</v>
          </cell>
          <cell r="C866" t="str">
            <v>-</v>
          </cell>
          <cell r="D866">
            <v>2.2761836012279399E-4</v>
          </cell>
          <cell r="E866">
            <v>2.6469094289211098E-3</v>
          </cell>
          <cell r="F866">
            <v>1.9906312912236501E-4</v>
          </cell>
          <cell r="G866">
            <v>1.54277129310662E-4</v>
          </cell>
          <cell r="H866">
            <v>1.1627950512968601E-4</v>
          </cell>
          <cell r="I866">
            <v>9.2851549725798203E-5</v>
          </cell>
        </row>
        <row r="867">
          <cell r="A867" t="str">
            <v>RHNM-SHSTG-ELC</v>
          </cell>
          <cell r="B867" t="str">
            <v>VAR_cap</v>
          </cell>
          <cell r="C867" t="str">
            <v>-</v>
          </cell>
          <cell r="D867">
            <v>2.2761836012279399E-4</v>
          </cell>
          <cell r="E867">
            <v>2.8519468351890856E-3</v>
          </cell>
          <cell r="F867">
            <v>2.9590959929456911E-3</v>
          </cell>
          <cell r="G867">
            <v>2.9460887695687311E-3</v>
          </cell>
          <cell r="H867">
            <v>4.6099562566124901E-4</v>
          </cell>
          <cell r="I867">
            <v>1.9623578714933297E-4</v>
          </cell>
        </row>
        <row r="868">
          <cell r="A868" t="str">
            <v>D-RWOD</v>
          </cell>
          <cell r="B868" t="str">
            <v>VAR_fout</v>
          </cell>
          <cell r="C868" t="str">
            <v>RWOD</v>
          </cell>
          <cell r="D868">
            <v>13.723095357407702</v>
          </cell>
          <cell r="E868">
            <v>15.779749432794189</v>
          </cell>
          <cell r="F868">
            <v>17.833893803501866</v>
          </cell>
          <cell r="G868">
            <v>15.798073589898509</v>
          </cell>
          <cell r="H868">
            <v>11.683340399668895</v>
          </cell>
          <cell r="I868">
            <v>6.9705595325375285</v>
          </cell>
        </row>
        <row r="869">
          <cell r="A869" t="str">
            <v>D-RWOD</v>
          </cell>
          <cell r="B869" t="str">
            <v>VAR_fin</v>
          </cell>
          <cell r="C869" t="str">
            <v>WOD</v>
          </cell>
          <cell r="D869">
            <v>13.723095357407702</v>
          </cell>
          <cell r="E869">
            <v>15.779749432794189</v>
          </cell>
          <cell r="F869">
            <v>17.833893803501866</v>
          </cell>
          <cell r="G869">
            <v>15.798073589898509</v>
          </cell>
          <cell r="H869">
            <v>11.683340399668895</v>
          </cell>
          <cell r="I869">
            <v>6.9705595325375285</v>
          </cell>
        </row>
        <row r="870">
          <cell r="A870" t="str">
            <v>RHNS-SHLTHCHPWOD</v>
          </cell>
          <cell r="B870" t="str">
            <v>VAR_ncap</v>
          </cell>
          <cell r="C870" t="str">
            <v>-</v>
          </cell>
          <cell r="G870">
            <v>2.8716790396729301E-4</v>
          </cell>
          <cell r="H870">
            <v>5.1259936104752204E-4</v>
          </cell>
          <cell r="I870">
            <v>1.8199027069429999E-4</v>
          </cell>
        </row>
        <row r="871">
          <cell r="A871" t="str">
            <v>RHNS-SHLTHCHPWOD</v>
          </cell>
          <cell r="B871" t="str">
            <v>VAR_cap</v>
          </cell>
          <cell r="C871" t="str">
            <v>-</v>
          </cell>
          <cell r="G871">
            <v>2.8716790396729301E-4</v>
          </cell>
          <cell r="H871">
            <v>8.2222557369377998E-4</v>
          </cell>
          <cell r="I871">
            <v>3.3589426273737401E-4</v>
          </cell>
        </row>
        <row r="872">
          <cell r="A872" t="str">
            <v>RHNM-SHELCBR</v>
          </cell>
          <cell r="B872" t="str">
            <v>VAR_fout</v>
          </cell>
          <cell r="C872" t="str">
            <v>RHNM-SHAELCB</v>
          </cell>
          <cell r="E872">
            <v>0.15440438037235929</v>
          </cell>
          <cell r="F872">
            <v>7.6346811884035401E-4</v>
          </cell>
          <cell r="G872">
            <v>1.5517400950372906E-3</v>
          </cell>
          <cell r="H872">
            <v>1.8488103292698622E-3</v>
          </cell>
          <cell r="I872">
            <v>1.824006479757238E-3</v>
          </cell>
        </row>
        <row r="873">
          <cell r="A873" t="str">
            <v>RHNM-SHELCBR</v>
          </cell>
          <cell r="B873" t="str">
            <v>VAR_fin</v>
          </cell>
          <cell r="C873" t="str">
            <v>RHNM_ELC</v>
          </cell>
          <cell r="E873">
            <v>0.16253092670774666</v>
          </cell>
          <cell r="F873">
            <v>8.0365065141089868E-4</v>
          </cell>
          <cell r="G873">
            <v>1.6334106263550434E-3</v>
          </cell>
          <cell r="H873">
            <v>1.9461161360735388E-3</v>
          </cell>
          <cell r="I873">
            <v>1.9200068207970919E-3</v>
          </cell>
        </row>
        <row r="874">
          <cell r="A874" t="str">
            <v>RHNM-SHELCBR</v>
          </cell>
          <cell r="B874" t="str">
            <v>VAR_ncap</v>
          </cell>
          <cell r="C874" t="str">
            <v>-</v>
          </cell>
          <cell r="E874">
            <v>1.25923077361871E-2</v>
          </cell>
        </row>
        <row r="875">
          <cell r="A875" t="str">
            <v>RHNM-SHELCBR</v>
          </cell>
          <cell r="B875" t="str">
            <v>VAR_cap</v>
          </cell>
          <cell r="C875" t="str">
            <v>-</v>
          </cell>
          <cell r="E875">
            <v>1.25923077361871E-2</v>
          </cell>
          <cell r="F875">
            <v>1.2569701592204377E-2</v>
          </cell>
          <cell r="G875">
            <v>1.2514303091852528E-2</v>
          </cell>
          <cell r="H875">
            <v>1.9647023206795376E-3</v>
          </cell>
          <cell r="I875">
            <v>8.2946178378871436E-4</v>
          </cell>
        </row>
        <row r="876">
          <cell r="A876" t="str">
            <v>RHNS-SHSTG-NGAHP</v>
          </cell>
          <cell r="B876" t="str">
            <v>VAR_fout</v>
          </cell>
          <cell r="C876" t="str">
            <v>RHNS-SHANGAH</v>
          </cell>
          <cell r="F876">
            <v>8.436681710366753E-3</v>
          </cell>
          <cell r="G876">
            <v>3.3747087568099784E-2</v>
          </cell>
          <cell r="H876">
            <v>7.7148009849332566E-2</v>
          </cell>
          <cell r="I876">
            <v>0.11056138436208322</v>
          </cell>
        </row>
        <row r="877">
          <cell r="A877" t="str">
            <v>RHNS-SHSTG-NGAHP</v>
          </cell>
          <cell r="B877" t="str">
            <v>VAR_fin</v>
          </cell>
          <cell r="C877" t="str">
            <v>RHNS-SHANGAH</v>
          </cell>
          <cell r="F877">
            <v>8.5257342111359977E-3</v>
          </cell>
          <cell r="G877">
            <v>3.383532792882215E-2</v>
          </cell>
          <cell r="H877">
            <v>7.7208668619074897E-2</v>
          </cell>
          <cell r="I877">
            <v>0.11063181967366212</v>
          </cell>
        </row>
        <row r="878">
          <cell r="A878" t="str">
            <v>RHNS-SHSTG-NGAHP</v>
          </cell>
          <cell r="B878" t="str">
            <v>VAR_ncap</v>
          </cell>
          <cell r="C878" t="str">
            <v>-</v>
          </cell>
          <cell r="D878">
            <v>2.20784309274369E-5</v>
          </cell>
          <cell r="E878">
            <v>2.9152757708685401E-5</v>
          </cell>
          <cell r="F878">
            <v>2.4870623592855002E-3</v>
          </cell>
          <cell r="G878">
            <v>5.6515889673310902E-3</v>
          </cell>
          <cell r="H878">
            <v>6.3881364656151298E-3</v>
          </cell>
          <cell r="I878">
            <v>1.01930464344913E-2</v>
          </cell>
        </row>
        <row r="879">
          <cell r="A879" t="str">
            <v>RHNS-SHSTG-NGAHP</v>
          </cell>
          <cell r="B879" t="str">
            <v>VAR_cap</v>
          </cell>
          <cell r="C879" t="str">
            <v>-</v>
          </cell>
          <cell r="D879">
            <v>2.20784309274369E-5</v>
          </cell>
          <cell r="E879">
            <v>1.8481957944493045E-6</v>
          </cell>
          <cell r="F879">
            <v>2.4703142389305537E-3</v>
          </cell>
          <cell r="G879">
            <v>8.0920837586648826E-3</v>
          </cell>
          <cell r="H879">
            <v>1.3606452647928702E-2</v>
          </cell>
          <cell r="I879">
            <v>1.6028705725237118E-2</v>
          </cell>
        </row>
        <row r="880">
          <cell r="A880" t="str">
            <v>RHNS-SHLTHDH</v>
          </cell>
          <cell r="B880" t="str">
            <v>VAR_fout</v>
          </cell>
          <cell r="C880" t="str">
            <v>RHNS-SHLTHD</v>
          </cell>
          <cell r="E880">
            <v>5.394926475089417E-2</v>
          </cell>
          <cell r="F880">
            <v>2.838645833879579E-3</v>
          </cell>
          <cell r="G880">
            <v>0.14778134416658731</v>
          </cell>
          <cell r="H880">
            <v>0.17069245167717112</v>
          </cell>
          <cell r="I880">
            <v>0.19928708976717049</v>
          </cell>
        </row>
        <row r="881">
          <cell r="A881" t="str">
            <v>RHNS-SHLTHDH</v>
          </cell>
          <cell r="B881" t="str">
            <v>VAR_fin</v>
          </cell>
          <cell r="C881" t="str">
            <v>RHNS_LTH_DH</v>
          </cell>
          <cell r="E881">
            <v>5.4494206819085053E-2</v>
          </cell>
          <cell r="F881">
            <v>3.1396638576644043E-3</v>
          </cell>
          <cell r="G881">
            <v>0.16251929928742756</v>
          </cell>
          <cell r="H881">
            <v>0.18756486403175521</v>
          </cell>
          <cell r="I881">
            <v>0.21885912346090125</v>
          </cell>
        </row>
        <row r="882">
          <cell r="A882" t="str">
            <v>RHNS-SHLTHDH</v>
          </cell>
          <cell r="B882" t="str">
            <v>VAR_fin</v>
          </cell>
          <cell r="C882" t="str">
            <v>RHNSLTHDHC</v>
          </cell>
          <cell r="E882">
            <v>5.394926475089417E-2</v>
          </cell>
          <cell r="F882">
            <v>2.838645833879579E-3</v>
          </cell>
          <cell r="G882">
            <v>0.14778134416658731</v>
          </cell>
          <cell r="H882">
            <v>0.17069245167717112</v>
          </cell>
          <cell r="I882">
            <v>0.19928708976717049</v>
          </cell>
        </row>
        <row r="883">
          <cell r="A883" t="str">
            <v>RHNS-SHLTHDH</v>
          </cell>
          <cell r="B883" t="str">
            <v>VAR_ncap</v>
          </cell>
          <cell r="C883" t="str">
            <v>-</v>
          </cell>
          <cell r="E883">
            <v>8.6858862654546204E-3</v>
          </cell>
          <cell r="F883">
            <v>2.4965400394746502E-2</v>
          </cell>
          <cell r="G883">
            <v>9.6026094648565194E-3</v>
          </cell>
          <cell r="H883">
            <v>6.0937550734966499E-3</v>
          </cell>
          <cell r="I883">
            <v>1.04488131163813E-2</v>
          </cell>
        </row>
        <row r="884">
          <cell r="A884" t="str">
            <v>RHNS-SHLTHDH</v>
          </cell>
          <cell r="B884" t="str">
            <v>VAR_cap</v>
          </cell>
          <cell r="C884" t="str">
            <v>-</v>
          </cell>
          <cell r="E884">
            <v>8.6858862654546204E-3</v>
          </cell>
          <cell r="F884">
            <v>3.0331730843857829E-2</v>
          </cell>
          <cell r="G884">
            <v>1.7455603891954705E-2</v>
          </cell>
          <cell r="H884">
            <v>1.4202228747871498E-2</v>
          </cell>
          <cell r="I884">
            <v>1.7272511692963899E-2</v>
          </cell>
        </row>
        <row r="885">
          <cell r="A885" t="str">
            <v>ITOT-SWHNGAHP</v>
          </cell>
          <cell r="B885" t="str">
            <v>VAR_fout</v>
          </cell>
          <cell r="C885" t="str">
            <v>ITOT-SWHANGAH</v>
          </cell>
          <cell r="F885">
            <v>2.6397576494811868E-2</v>
          </cell>
          <cell r="G885">
            <v>1.1728462314761091E-2</v>
          </cell>
          <cell r="H885">
            <v>1.318119695290379E-2</v>
          </cell>
          <cell r="I885">
            <v>1.3184843693154216E-2</v>
          </cell>
        </row>
        <row r="886">
          <cell r="A886" t="str">
            <v>ITOT-SWHNGAHP</v>
          </cell>
          <cell r="B886" t="str">
            <v>VAR_fout</v>
          </cell>
          <cell r="C886" t="str">
            <v>CO2_I</v>
          </cell>
          <cell r="F886">
            <v>0.789649051448994</v>
          </cell>
          <cell r="G886">
            <v>0.34411852524419301</v>
          </cell>
          <cell r="H886">
            <v>0.37246737500774901</v>
          </cell>
          <cell r="I886">
            <v>0.35930799730838298</v>
          </cell>
        </row>
        <row r="887">
          <cell r="A887" t="str">
            <v>ITOT-SWHNGAHP</v>
          </cell>
          <cell r="B887" t="str">
            <v>VAR_fin</v>
          </cell>
          <cell r="C887" t="str">
            <v>ITOTELCHPC</v>
          </cell>
          <cell r="F887">
            <v>2.6397576494811868E-2</v>
          </cell>
          <cell r="G887">
            <v>1.1728462314761091E-2</v>
          </cell>
          <cell r="H887">
            <v>1.318119695290379E-2</v>
          </cell>
          <cell r="I887">
            <v>1.3184843693154216E-2</v>
          </cell>
        </row>
        <row r="888">
          <cell r="A888" t="str">
            <v>ITOT-SWHNGAHP</v>
          </cell>
          <cell r="B888" t="str">
            <v>VAR_fin</v>
          </cell>
          <cell r="C888" t="str">
            <v>INGA</v>
          </cell>
          <cell r="F888">
            <v>1.4000869706542443E-2</v>
          </cell>
          <cell r="G888">
            <v>6.1013922915637104E-3</v>
          </cell>
          <cell r="H888">
            <v>6.6040314717685945E-3</v>
          </cell>
          <cell r="I888">
            <v>6.3707091721344452E-3</v>
          </cell>
        </row>
        <row r="889">
          <cell r="A889" t="str">
            <v>ITOT-SWHNGAHP</v>
          </cell>
          <cell r="B889" t="str">
            <v>VAR_ncap</v>
          </cell>
          <cell r="C889" t="str">
            <v>-</v>
          </cell>
          <cell r="E889">
            <v>1.7256088389165499E-3</v>
          </cell>
          <cell r="F889">
            <v>6.0199339240670397E-6</v>
          </cell>
          <cell r="G889">
            <v>2.0217207297137699E-6</v>
          </cell>
          <cell r="H889">
            <v>6.0556534115900704E-4</v>
          </cell>
          <cell r="I889">
            <v>5.00102935643077E-4</v>
          </cell>
        </row>
        <row r="890">
          <cell r="A890" t="str">
            <v>ITOT-SWHNGAHP</v>
          </cell>
          <cell r="B890" t="str">
            <v>VAR_cap</v>
          </cell>
          <cell r="C890" t="str">
            <v>-</v>
          </cell>
          <cell r="E890">
            <v>1.7256088389165499E-3</v>
          </cell>
          <cell r="F890">
            <v>1.7302634883662551E-3</v>
          </cell>
          <cell r="G890">
            <v>1.2574225080880859E-3</v>
          </cell>
          <cell r="H890">
            <v>1.2579822317217979E-3</v>
          </cell>
          <cell r="I890">
            <v>1.2108013671093478E-3</v>
          </cell>
        </row>
        <row r="891">
          <cell r="A891" t="str">
            <v>RHSA-WHLFOBR</v>
          </cell>
          <cell r="B891" t="str">
            <v>VAR_fout</v>
          </cell>
          <cell r="C891" t="str">
            <v>CO2_R</v>
          </cell>
          <cell r="D891">
            <v>726.71493990875695</v>
          </cell>
          <cell r="E891">
            <v>598.85293486688295</v>
          </cell>
          <cell r="F891">
            <v>649.70086430768799</v>
          </cell>
          <cell r="G891">
            <v>284.87858599592801</v>
          </cell>
          <cell r="H891">
            <v>95.9335077976598</v>
          </cell>
          <cell r="I891">
            <v>8.9563761361649004</v>
          </cell>
        </row>
        <row r="892">
          <cell r="A892" t="str">
            <v>RHSA-WHLFOBR</v>
          </cell>
          <cell r="B892" t="str">
            <v>VAR_fout</v>
          </cell>
          <cell r="C892" t="str">
            <v>RHSA-WHLFO</v>
          </cell>
          <cell r="D892">
            <v>6.9844832533066867</v>
          </cell>
          <cell r="E892">
            <v>5.8063816332920899</v>
          </cell>
          <cell r="F892">
            <v>4.4246926402185087</v>
          </cell>
          <cell r="G892">
            <v>2.0795507521888017</v>
          </cell>
          <cell r="H892">
            <v>0.72881869070523231</v>
          </cell>
          <cell r="I892">
            <v>7.1840883115624199E-2</v>
          </cell>
        </row>
        <row r="893">
          <cell r="A893" t="str">
            <v>RHSA-WHLFOBR</v>
          </cell>
          <cell r="B893" t="str">
            <v>VAR_fin</v>
          </cell>
          <cell r="C893" t="str">
            <v>RLFO</v>
          </cell>
          <cell r="D893">
            <v>9.8604469458447337</v>
          </cell>
          <cell r="E893">
            <v>8.1255486413417035</v>
          </cell>
          <cell r="F893">
            <v>8.8154798413526176</v>
          </cell>
          <cell r="G893">
            <v>3.865381085426431</v>
          </cell>
          <cell r="H893">
            <v>1.3016758181500649</v>
          </cell>
          <cell r="I893">
            <v>0.12152477796695919</v>
          </cell>
        </row>
        <row r="894">
          <cell r="A894" t="str">
            <v>RHSA-WHLFOBR</v>
          </cell>
          <cell r="B894" t="str">
            <v>VAR_ncap</v>
          </cell>
          <cell r="C894" t="str">
            <v>-</v>
          </cell>
          <cell r="E894">
            <v>6.18663034986962E-7</v>
          </cell>
          <cell r="F894">
            <v>3.16704198171303E-7</v>
          </cell>
          <cell r="G894">
            <v>6.8526148210876704E-7</v>
          </cell>
          <cell r="H894">
            <v>7.3140663173615304E-3</v>
          </cell>
        </row>
        <row r="895">
          <cell r="A895" t="str">
            <v>RHSA-WHLFOBR</v>
          </cell>
          <cell r="B895" t="str">
            <v>VAR_cap</v>
          </cell>
          <cell r="C895" t="str">
            <v>-</v>
          </cell>
          <cell r="D895">
            <v>0.47738433216181703</v>
          </cell>
          <cell r="E895">
            <v>0.47737087653175192</v>
          </cell>
          <cell r="F895">
            <v>0.33417947431081119</v>
          </cell>
          <cell r="G895">
            <v>0.2285957951774053</v>
          </cell>
          <cell r="H895">
            <v>4.9853089211759433E-2</v>
          </cell>
          <cell r="I895">
            <v>7.0935853099748994E-3</v>
          </cell>
        </row>
        <row r="896">
          <cell r="A896" t="str">
            <v>D-IWST</v>
          </cell>
          <cell r="B896" t="str">
            <v>VAR_fout</v>
          </cell>
          <cell r="C896" t="str">
            <v>CO2</v>
          </cell>
          <cell r="D896">
            <v>1068.1381802373101</v>
          </cell>
          <cell r="E896">
            <v>1110.7031162109299</v>
          </cell>
          <cell r="F896">
            <v>1024.6433245588601</v>
          </cell>
          <cell r="G896">
            <v>1085.4295439254699</v>
          </cell>
          <cell r="H896">
            <v>1073.7803724956</v>
          </cell>
          <cell r="I896">
            <v>1086.85499101702</v>
          </cell>
        </row>
        <row r="897">
          <cell r="A897" t="str">
            <v>D-IWST</v>
          </cell>
          <cell r="B897" t="str">
            <v>VAR_fout</v>
          </cell>
          <cell r="C897" t="str">
            <v>IWST</v>
          </cell>
          <cell r="D897">
            <v>11.510109700833038</v>
          </cell>
          <cell r="E897">
            <v>11.968783579859172</v>
          </cell>
          <cell r="F897">
            <v>11.041415135332514</v>
          </cell>
          <cell r="G897">
            <v>11.696439050920997</v>
          </cell>
          <cell r="H897">
            <v>11.570909186375012</v>
          </cell>
          <cell r="I897">
            <v>11.711799472166156</v>
          </cell>
        </row>
        <row r="898">
          <cell r="A898" t="str">
            <v>D-IWST</v>
          </cell>
          <cell r="B898" t="str">
            <v>VAR_fin</v>
          </cell>
          <cell r="C898" t="str">
            <v>WSTNREN</v>
          </cell>
          <cell r="D898">
            <v>11.510109700833038</v>
          </cell>
          <cell r="E898">
            <v>11.968783579859172</v>
          </cell>
          <cell r="F898">
            <v>11.041415135332514</v>
          </cell>
          <cell r="G898">
            <v>11.696439050920997</v>
          </cell>
          <cell r="H898">
            <v>11.570909186375012</v>
          </cell>
          <cell r="I898">
            <v>11.711799472166156</v>
          </cell>
        </row>
        <row r="899">
          <cell r="A899" t="str">
            <v>RHES-SHLFOBR</v>
          </cell>
          <cell r="B899" t="str">
            <v>VAR_fout</v>
          </cell>
          <cell r="C899" t="str">
            <v>CO2_R</v>
          </cell>
          <cell r="D899">
            <v>1783.66631956591</v>
          </cell>
          <cell r="E899">
            <v>1640.9706511925001</v>
          </cell>
          <cell r="F899">
            <v>1214.0260383325201</v>
          </cell>
          <cell r="G899">
            <v>574.08918219058205</v>
          </cell>
          <cell r="H899">
            <v>105.90475642691599</v>
          </cell>
          <cell r="I899">
            <v>6.6070017918389397</v>
          </cell>
        </row>
        <row r="900">
          <cell r="A900" t="str">
            <v>RHES-SHLFOBR</v>
          </cell>
          <cell r="B900" t="str">
            <v>VAR_fout</v>
          </cell>
          <cell r="C900" t="str">
            <v>RHES-SHLFO</v>
          </cell>
          <cell r="D900">
            <v>21.680702097844364</v>
          </cell>
          <cell r="E900">
            <v>19.946217209768612</v>
          </cell>
          <cell r="F900">
            <v>13.997900877379983</v>
          </cell>
          <cell r="G900">
            <v>6.7395506126711258</v>
          </cell>
          <cell r="H900">
            <v>1.2430432494351513</v>
          </cell>
          <cell r="I900">
            <v>7.7880678481020177E-2</v>
          </cell>
        </row>
        <row r="901">
          <cell r="A901" t="str">
            <v>RHES-SHLFOBR</v>
          </cell>
          <cell r="B901" t="str">
            <v>VAR_fin</v>
          </cell>
          <cell r="C901" t="str">
            <v>RLFO</v>
          </cell>
          <cell r="D901">
            <v>24.201713969686743</v>
          </cell>
          <cell r="E901">
            <v>22.265544792299835</v>
          </cell>
          <cell r="F901">
            <v>16.472537833548397</v>
          </cell>
          <cell r="G901">
            <v>7.7895411423416752</v>
          </cell>
          <cell r="H901">
            <v>1.4369709148835279</v>
          </cell>
          <cell r="I901">
            <v>8.9647242765792917E-2</v>
          </cell>
        </row>
        <row r="902">
          <cell r="A902" t="str">
            <v>RHES-SHLFOBR</v>
          </cell>
          <cell r="B902" t="str">
            <v>VAR_ncap</v>
          </cell>
          <cell r="C902" t="str">
            <v>-</v>
          </cell>
          <cell r="E902">
            <v>2.8002275321060698E-7</v>
          </cell>
          <cell r="F902">
            <v>2.2852789257195799E-7</v>
          </cell>
          <cell r="G902">
            <v>4.3728498786544299E-7</v>
          </cell>
          <cell r="H902">
            <v>9.2556106291437595E-2</v>
          </cell>
          <cell r="I902">
            <v>2.29536262449482E-7</v>
          </cell>
        </row>
        <row r="903">
          <cell r="A903" t="str">
            <v>RHES-SHLFOBR</v>
          </cell>
          <cell r="B903" t="str">
            <v>VAR_cap</v>
          </cell>
          <cell r="C903" t="str">
            <v>-</v>
          </cell>
          <cell r="D903">
            <v>1.7515307393373001</v>
          </cell>
          <cell r="E903">
            <v>1.7512910991596158</v>
          </cell>
          <cell r="F903">
            <v>1.208577106798447</v>
          </cell>
          <cell r="G903">
            <v>1.2080491855072886</v>
          </cell>
          <cell r="H903">
            <v>0.10048161612330378</v>
          </cell>
          <cell r="I903">
            <v>9.0795779791809986E-3</v>
          </cell>
        </row>
        <row r="904">
          <cell r="A904" t="str">
            <v>ITOT-SWHSTG</v>
          </cell>
          <cell r="B904" t="str">
            <v>VAR_fout</v>
          </cell>
          <cell r="C904" t="str">
            <v>ITOT-SWH</v>
          </cell>
          <cell r="D904">
            <v>3.7967617629183167E-5</v>
          </cell>
          <cell r="E904">
            <v>9.8313398120761859E-4</v>
          </cell>
          <cell r="F904">
            <v>1.1817904295302455E-2</v>
          </cell>
          <cell r="G904">
            <v>3.5673815010284077E-3</v>
          </cell>
          <cell r="H904">
            <v>0.95201531023970354</v>
          </cell>
          <cell r="I904">
            <v>5.8446899047093108</v>
          </cell>
        </row>
        <row r="905">
          <cell r="A905" t="str">
            <v>ITOT-SWHSTG</v>
          </cell>
          <cell r="B905" t="str">
            <v>VAR_fout</v>
          </cell>
          <cell r="C905" t="str">
            <v>AUX_ITOT-STG_OUT</v>
          </cell>
          <cell r="D905">
            <v>3.7967617629183106E-5</v>
          </cell>
          <cell r="E905">
            <v>9.8233105416462257E-4</v>
          </cell>
          <cell r="F905">
            <v>1.1802830437782935E-2</v>
          </cell>
          <cell r="G905">
            <v>3.5673815010284137E-3</v>
          </cell>
          <cell r="H905">
            <v>0.95201531023970487</v>
          </cell>
          <cell r="I905">
            <v>5.8446899047093126</v>
          </cell>
        </row>
        <row r="906">
          <cell r="A906" t="str">
            <v>ITOT-SWHSTG</v>
          </cell>
          <cell r="B906" t="str">
            <v>VAR_fin</v>
          </cell>
          <cell r="C906" t="str">
            <v>AUX_ITOT-STG_IN</v>
          </cell>
          <cell r="D906">
            <v>4.6872960068143876E-5</v>
          </cell>
          <cell r="E906">
            <v>1.1960369006411937E-3</v>
          </cell>
          <cell r="F906">
            <v>1.4068933702679177E-2</v>
          </cell>
          <cell r="G906">
            <v>4.1004385640032526E-3</v>
          </cell>
          <cell r="H906">
            <v>1.0236723665232352</v>
          </cell>
          <cell r="I906">
            <v>5.903727182333693</v>
          </cell>
        </row>
        <row r="907">
          <cell r="A907" t="str">
            <v>ITOT-SWHSTG</v>
          </cell>
          <cell r="B907" t="str">
            <v>VAR_fin</v>
          </cell>
          <cell r="C907" t="str">
            <v>ITOT-SWH</v>
          </cell>
          <cell r="D907">
            <v>4.6872960068143876E-5</v>
          </cell>
          <cell r="E907">
            <v>1.1960369006411937E-3</v>
          </cell>
          <cell r="F907">
            <v>1.4068933702679177E-2</v>
          </cell>
          <cell r="G907">
            <v>4.1004385640032526E-3</v>
          </cell>
          <cell r="H907">
            <v>1.0236723665232352</v>
          </cell>
          <cell r="I907">
            <v>5.903727182333693</v>
          </cell>
        </row>
        <row r="908">
          <cell r="A908" t="str">
            <v>ITOT-SWHSTG</v>
          </cell>
          <cell r="B908" t="str">
            <v>VAR_ncap</v>
          </cell>
          <cell r="C908" t="str">
            <v>-</v>
          </cell>
          <cell r="D908">
            <v>2.7575389561948298E-3</v>
          </cell>
          <cell r="E908">
            <v>1.4119400675584099E-5</v>
          </cell>
          <cell r="F908">
            <v>1.80723789783368E-5</v>
          </cell>
          <cell r="G908">
            <v>1.15701417469586E-5</v>
          </cell>
          <cell r="H908">
            <v>0.31224934915061398</v>
          </cell>
          <cell r="I908">
            <v>0.37041121360933599</v>
          </cell>
        </row>
        <row r="909">
          <cell r="A909" t="str">
            <v>ITOT-SWHSTG</v>
          </cell>
          <cell r="B909" t="str">
            <v>VAR_cap</v>
          </cell>
          <cell r="C909" t="str">
            <v>-</v>
          </cell>
          <cell r="D909">
            <v>2.7575389561948298E-3</v>
          </cell>
          <cell r="E909">
            <v>2.7690966220489024E-3</v>
          </cell>
          <cell r="F909">
            <v>2.7837892306992302E-3</v>
          </cell>
          <cell r="G909">
            <v>2.7850354128224173E-3</v>
          </cell>
          <cell r="H909">
            <v>0.32521516263908168</v>
          </cell>
          <cell r="I909">
            <v>0.60249047556278168</v>
          </cell>
        </row>
        <row r="910">
          <cell r="A910" t="str">
            <v>SCOM-SHLFOBR</v>
          </cell>
          <cell r="B910" t="str">
            <v>VAR_fout</v>
          </cell>
          <cell r="C910" t="str">
            <v>CO2_S</v>
          </cell>
          <cell r="D910">
            <v>2229.91451566669</v>
          </cell>
          <cell r="E910">
            <v>1952.0212725117401</v>
          </cell>
          <cell r="F910">
            <v>1882.07900402768</v>
          </cell>
          <cell r="G910">
            <v>1112.2297690908099</v>
          </cell>
          <cell r="H910">
            <v>386.85538364477702</v>
          </cell>
          <cell r="I910">
            <v>29.0370825460246</v>
          </cell>
        </row>
        <row r="911">
          <cell r="A911" t="str">
            <v>SCOM-SHLFOBR</v>
          </cell>
          <cell r="B911" t="str">
            <v>VAR_fout</v>
          </cell>
          <cell r="C911" t="str">
            <v>SCOM-SHLFO</v>
          </cell>
          <cell r="D911">
            <v>24.843076154931914</v>
          </cell>
          <cell r="E911">
            <v>21.790181162769422</v>
          </cell>
          <cell r="F911">
            <v>20.213420236093356</v>
          </cell>
          <cell r="G911">
            <v>12.357040505654568</v>
          </cell>
          <cell r="H911">
            <v>4.2980216663655613</v>
          </cell>
          <cell r="I911">
            <v>0.32260636710036295</v>
          </cell>
        </row>
        <row r="912">
          <cell r="A912" t="str">
            <v>SCOM-SHLFOBR</v>
          </cell>
          <cell r="B912" t="str">
            <v>VAR_fin</v>
          </cell>
          <cell r="C912" t="str">
            <v>SLFO</v>
          </cell>
          <cell r="D912">
            <v>30.256642003618616</v>
          </cell>
          <cell r="E912">
            <v>26.486041689440217</v>
          </cell>
          <cell r="F912">
            <v>25.537028548543876</v>
          </cell>
          <cell r="G912">
            <v>15.091313013443793</v>
          </cell>
          <cell r="H912">
            <v>5.249055409020043</v>
          </cell>
          <cell r="I912">
            <v>0.39399026521064545</v>
          </cell>
        </row>
        <row r="913">
          <cell r="A913" t="str">
            <v>SCOM-SHLFOBR</v>
          </cell>
          <cell r="B913" t="str">
            <v>VAR_ncap</v>
          </cell>
          <cell r="C913" t="str">
            <v>-</v>
          </cell>
          <cell r="D913">
            <v>5.5359218769514204E-6</v>
          </cell>
          <cell r="E913">
            <v>2.2171140292439602E-6</v>
          </cell>
          <cell r="F913">
            <v>1.4845847394388401E-6</v>
          </cell>
          <cell r="G913">
            <v>2.6586469301853698E-6</v>
          </cell>
          <cell r="H913">
            <v>1.26890378759291E-5</v>
          </cell>
          <cell r="I913">
            <v>7.9682188673660105E-7</v>
          </cell>
        </row>
        <row r="914">
          <cell r="A914" t="str">
            <v>SCOM-SHLFOBR</v>
          </cell>
          <cell r="B914" t="str">
            <v>VAR_cap</v>
          </cell>
          <cell r="C914" t="str">
            <v>-</v>
          </cell>
          <cell r="D914">
            <v>1.9285791931469969</v>
          </cell>
          <cell r="E914">
            <v>1.7738494200258961</v>
          </cell>
          <cell r="F914">
            <v>1.6087805303507734</v>
          </cell>
          <cell r="G914">
            <v>1.6086048064743399</v>
          </cell>
          <cell r="H914">
            <v>0.33389062155941807</v>
          </cell>
          <cell r="I914">
            <v>5.50509523188768E-2</v>
          </cell>
        </row>
        <row r="915">
          <cell r="A915" t="str">
            <v>RHNM-SHPLTBR</v>
          </cell>
          <cell r="B915" t="str">
            <v>VAR_fout</v>
          </cell>
          <cell r="C915" t="str">
            <v>RHNM-SHPLT</v>
          </cell>
          <cell r="E915">
            <v>7.3554516940383743E-2</v>
          </cell>
          <cell r="F915">
            <v>7.8060939142813313E-3</v>
          </cell>
          <cell r="G915">
            <v>1.6186819126267949E-2</v>
          </cell>
          <cell r="H915">
            <v>2.1087574210883153E-2</v>
          </cell>
          <cell r="I915">
            <v>2.5960191845484853E-2</v>
          </cell>
        </row>
        <row r="916">
          <cell r="A916" t="str">
            <v>RHNM-SHPLTBR</v>
          </cell>
          <cell r="B916" t="str">
            <v>VAR_fin</v>
          </cell>
          <cell r="C916" t="str">
            <v>RPLT</v>
          </cell>
          <cell r="E916">
            <v>8.1727241044870794E-2</v>
          </cell>
          <cell r="F916">
            <v>1.0520468453107517E-2</v>
          </cell>
          <cell r="G916">
            <v>2.1440681791383885E-2</v>
          </cell>
          <cell r="H916">
            <v>2.7582660998924299E-2</v>
          </cell>
          <cell r="I916">
            <v>3.3956071190563951E-2</v>
          </cell>
        </row>
        <row r="917">
          <cell r="A917" t="str">
            <v>RHNM-SHPLTBR</v>
          </cell>
          <cell r="B917" t="str">
            <v>VAR_fin</v>
          </cell>
          <cell r="C917" t="str">
            <v>RHNMPLTBRC</v>
          </cell>
          <cell r="E917">
            <v>7.3554516940383743E-2</v>
          </cell>
          <cell r="F917">
            <v>7.8060939142813313E-3</v>
          </cell>
          <cell r="G917">
            <v>1.6186819126267949E-2</v>
          </cell>
          <cell r="H917">
            <v>2.1087574210883153E-2</v>
          </cell>
          <cell r="I917">
            <v>2.5960191845484853E-2</v>
          </cell>
        </row>
        <row r="918">
          <cell r="A918" t="str">
            <v>RHNM-SHPLTBR</v>
          </cell>
          <cell r="B918" t="str">
            <v>VAR_ncap</v>
          </cell>
          <cell r="C918" t="str">
            <v>-</v>
          </cell>
          <cell r="E918">
            <v>5.8351525109276497E-3</v>
          </cell>
          <cell r="F918">
            <v>6.5763170792798104E-6</v>
          </cell>
          <cell r="G918">
            <v>1.3588024079256E-5</v>
          </cell>
          <cell r="H918">
            <v>1.74781451244567E-3</v>
          </cell>
          <cell r="I918">
            <v>8.16055041737686E-4</v>
          </cell>
        </row>
        <row r="919">
          <cell r="A919" t="str">
            <v>RHNM-SHPLTBR</v>
          </cell>
          <cell r="B919" t="str">
            <v>VAR_cap</v>
          </cell>
          <cell r="C919" t="str">
            <v>-</v>
          </cell>
          <cell r="E919">
            <v>5.8351525109276497E-3</v>
          </cell>
          <cell r="F919">
            <v>5.7899424116089598E-3</v>
          </cell>
          <cell r="G919">
            <v>5.7660684923290439E-3</v>
          </cell>
          <cell r="H919">
            <v>1.7811657557154053E-3</v>
          </cell>
          <cell r="I919">
            <v>2.0941899796772865E-3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RHES_ELC</v>
          </cell>
          <cell r="D920">
            <v>9.8599929830912626E-3</v>
          </cell>
          <cell r="E920">
            <v>1.990944035443711E-3</v>
          </cell>
          <cell r="F920">
            <v>4.5925141597723054E-3</v>
          </cell>
          <cell r="G920">
            <v>1.3182027392512165E-3</v>
          </cell>
          <cell r="H920">
            <v>9.1731066688012237E-4</v>
          </cell>
        </row>
        <row r="921">
          <cell r="A921" t="str">
            <v>D-RHES_NKEV_GAS_ELC_CHP</v>
          </cell>
          <cell r="B921" t="str">
            <v>VAR_fout</v>
          </cell>
          <cell r="C921" t="str">
            <v>ELC5</v>
          </cell>
          <cell r="D921">
            <v>9.8153698475231706E-3</v>
          </cell>
          <cell r="E921">
            <v>1.9921587495378254E-3</v>
          </cell>
          <cell r="F921">
            <v>4.5975703060348472E-3</v>
          </cell>
          <cell r="G921">
            <v>1.3192098181060213E-3</v>
          </cell>
          <cell r="H921">
            <v>9.1816420327450765E-4</v>
          </cell>
        </row>
        <row r="922">
          <cell r="A922" t="str">
            <v>D-RHES_NKEV_GAS_ELC_CHP</v>
          </cell>
          <cell r="B922" t="str">
            <v>VAR_fin</v>
          </cell>
          <cell r="C922" t="str">
            <v>RHES_NKEV_GAS_ELC_CHP</v>
          </cell>
          <cell r="D922">
            <v>1.9675362830614433E-2</v>
          </cell>
          <cell r="E922">
            <v>3.983102784981536E-3</v>
          </cell>
          <cell r="F922">
            <v>9.1604951913489829E-3</v>
          </cell>
          <cell r="G922">
            <v>2.613644891733474E-3</v>
          </cell>
          <cell r="H922">
            <v>1.7954358935202265E-3</v>
          </cell>
        </row>
        <row r="923">
          <cell r="A923" t="str">
            <v>SCOM-SHSTG-SOL</v>
          </cell>
          <cell r="B923" t="str">
            <v>VAR_fout</v>
          </cell>
          <cell r="C923" t="str">
            <v>SCOM-SHASOL</v>
          </cell>
          <cell r="D923">
            <v>1.7157006017496447E-4</v>
          </cell>
          <cell r="E923">
            <v>1.8256816916762287E-4</v>
          </cell>
          <cell r="F923">
            <v>1.1654003577950594E-4</v>
          </cell>
          <cell r="G923">
            <v>9.8979316858206288E-5</v>
          </cell>
          <cell r="H923">
            <v>9.5622256967295994E-5</v>
          </cell>
          <cell r="I923">
            <v>4.9249670925681388E-5</v>
          </cell>
        </row>
        <row r="924">
          <cell r="A924" t="str">
            <v>SCOM-SHSTG-SOL</v>
          </cell>
          <cell r="B924" t="str">
            <v>VAR_fin</v>
          </cell>
          <cell r="C924" t="str">
            <v>SCOM-SHASOL</v>
          </cell>
          <cell r="D924">
            <v>1.5738770802645153E-4</v>
          </cell>
          <cell r="E924">
            <v>1.7338778650156824E-4</v>
          </cell>
          <cell r="F924">
            <v>9.696956226727839E-5</v>
          </cell>
          <cell r="G924">
            <v>7.2791334565485886E-5</v>
          </cell>
          <cell r="H924">
            <v>7.8318976634091678E-5</v>
          </cell>
          <cell r="I924">
            <v>1.830935166514876E-5</v>
          </cell>
        </row>
        <row r="925">
          <cell r="A925" t="str">
            <v>SCOM-SHSTG-SOL</v>
          </cell>
          <cell r="B925" t="str">
            <v>VAR_ncap</v>
          </cell>
          <cell r="C925" t="str">
            <v>-</v>
          </cell>
          <cell r="D925">
            <v>2.3267000949312899E-2</v>
          </cell>
          <cell r="E925">
            <v>2.3516791221962299E-4</v>
          </cell>
          <cell r="F925">
            <v>1.62910631336406E-6</v>
          </cell>
          <cell r="G925">
            <v>3.0818084692773402E-6</v>
          </cell>
          <cell r="H925">
            <v>1.0232693278664599E-2</v>
          </cell>
          <cell r="I925">
            <v>1.44479602104678E-2</v>
          </cell>
        </row>
        <row r="926">
          <cell r="A926" t="str">
            <v>SCOM-SHSTG-SOL</v>
          </cell>
          <cell r="B926" t="str">
            <v>VAR_cap</v>
          </cell>
          <cell r="C926" t="str">
            <v>-</v>
          </cell>
          <cell r="D926">
            <v>2.3267000949312899E-2</v>
          </cell>
          <cell r="E926">
            <v>2.3502168861532498E-2</v>
          </cell>
          <cell r="F926">
            <v>2.3503797967845901E-2</v>
          </cell>
          <cell r="G926">
            <v>2.3506879776315201E-2</v>
          </cell>
          <cell r="H926">
            <v>2.6886993053910499E-2</v>
          </cell>
          <cell r="I926">
            <v>2.89178361007386E-2</v>
          </cell>
        </row>
        <row r="927">
          <cell r="A927" t="str">
            <v>RHNM-SHELCBRA</v>
          </cell>
          <cell r="B927" t="str">
            <v>VAR_fout</v>
          </cell>
          <cell r="C927" t="str">
            <v>RHNM-SHELCB</v>
          </cell>
          <cell r="E927">
            <v>0.15440482040806075</v>
          </cell>
          <cell r="F927">
            <v>7.7472382737765017E-4</v>
          </cell>
          <cell r="G927">
            <v>1.561574033940351E-3</v>
          </cell>
          <cell r="H927">
            <v>1.8510783755118002E-3</v>
          </cell>
          <cell r="I927">
            <v>1.8225671880587433E-3</v>
          </cell>
        </row>
        <row r="928">
          <cell r="A928" t="str">
            <v>RHNM-SHELCBRA</v>
          </cell>
          <cell r="B928" t="str">
            <v>VAR_fin</v>
          </cell>
          <cell r="C928" t="str">
            <v>RHNM-SHAELCB</v>
          </cell>
          <cell r="E928">
            <v>0.15440482040806075</v>
          </cell>
          <cell r="F928">
            <v>7.7472382737765017E-4</v>
          </cell>
          <cell r="G928">
            <v>1.561574033940351E-3</v>
          </cell>
          <cell r="H928">
            <v>1.8510783755118002E-3</v>
          </cell>
          <cell r="I928">
            <v>1.8225671880587433E-3</v>
          </cell>
        </row>
        <row r="929">
          <cell r="A929" t="str">
            <v>RHNM-SHELCBRA</v>
          </cell>
          <cell r="B929" t="str">
            <v>VAR_ncap</v>
          </cell>
          <cell r="C929" t="str">
            <v>-</v>
          </cell>
          <cell r="E929">
            <v>1.25923077361871E-2</v>
          </cell>
        </row>
        <row r="930">
          <cell r="A930" t="str">
            <v>RHNM-SHELCBRA</v>
          </cell>
          <cell r="B930" t="str">
            <v>VAR_cap</v>
          </cell>
          <cell r="C930" t="str">
            <v>-</v>
          </cell>
          <cell r="E930">
            <v>1.25923077361871E-2</v>
          </cell>
          <cell r="F930">
            <v>1.2569769640085013E-2</v>
          </cell>
          <cell r="G930">
            <v>1.2514701047320741E-2</v>
          </cell>
          <cell r="H930">
            <v>1.9660702520162298E-3</v>
          </cell>
          <cell r="I930">
            <v>8.2994300425102475E-4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8.8538870736204342E-5</v>
          </cell>
          <cell r="F931">
            <v>3.7993843715955649E-5</v>
          </cell>
          <cell r="G931">
            <v>5.0771991421378356E-5</v>
          </cell>
          <cell r="H931">
            <v>3.1002235673945249E-5</v>
          </cell>
          <cell r="I931">
            <v>6.7171656253133295E-5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4.8609535730624532E-6</v>
          </cell>
          <cell r="F932">
            <v>1.4034562730150783E-5</v>
          </cell>
          <cell r="G932">
            <v>1.9387094593603115E-5</v>
          </cell>
          <cell r="H932">
            <v>2.4266372049120977E-5</v>
          </cell>
          <cell r="I932">
            <v>6.5281755340224884E-5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3.5337268392249E-4</v>
          </cell>
          <cell r="E933">
            <v>1.4098703337024201E-5</v>
          </cell>
          <cell r="F933">
            <v>3.6178270335263801E-4</v>
          </cell>
          <cell r="G933">
            <v>2.4333195109733798E-5</v>
          </cell>
          <cell r="H933">
            <v>3.7571431121033197E-5</v>
          </cell>
          <cell r="I933">
            <v>5.7755288005468898E-5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3.5337268392249E-4</v>
          </cell>
          <cell r="E934">
            <v>3.6747138725951403E-4</v>
          </cell>
          <cell r="F934">
            <v>7.2925409061215204E-4</v>
          </cell>
          <cell r="G934">
            <v>7.5358728572188496E-4</v>
          </cell>
          <cell r="H934">
            <v>1.21818918724776E-4</v>
          </cell>
          <cell r="I934">
            <v>8.6523174036851606E-5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0.14114843570287047</v>
          </cell>
          <cell r="F935">
            <v>1.0968095389801089</v>
          </cell>
          <cell r="G935">
            <v>1.6658565387988076</v>
          </cell>
          <cell r="H935">
            <v>2.5705746266757803</v>
          </cell>
          <cell r="I935">
            <v>3.1800859353459714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4.3385789662767626E-2</v>
          </cell>
          <cell r="F936">
            <v>0.32437236438993883</v>
          </cell>
          <cell r="G936">
            <v>0.4682862055933677</v>
          </cell>
          <cell r="H936">
            <v>0.66944773498542987</v>
          </cell>
          <cell r="I936">
            <v>0.76021836476477778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0.14114843570287047</v>
          </cell>
          <cell r="F937">
            <v>1.0968095389801089</v>
          </cell>
          <cell r="G937">
            <v>1.6658565387988076</v>
          </cell>
          <cell r="H937">
            <v>2.5705746266757803</v>
          </cell>
          <cell r="I937">
            <v>3.1800859353459714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1.03828685899692E-2</v>
          </cell>
          <cell r="F938">
            <v>6.9764160979624401E-2</v>
          </cell>
          <cell r="G938">
            <v>4.1472405028301601E-2</v>
          </cell>
          <cell r="H938">
            <v>0.105378452153452</v>
          </cell>
          <cell r="I938">
            <v>0.13776680913814199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1.03828685899692E-2</v>
          </cell>
          <cell r="F939">
            <v>8.0146600775866966E-2</v>
          </cell>
          <cell r="G939">
            <v>0.12161774975576234</v>
          </cell>
          <cell r="H939">
            <v>0.18737041264456539</v>
          </cell>
          <cell r="I939">
            <v>0.23171744548098874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1.2230838256329923</v>
          </cell>
          <cell r="E940">
            <v>1.3407880997314916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1.4022974382400755</v>
          </cell>
          <cell r="E941">
            <v>1.5372484518820142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2.4335303241640902E-6</v>
          </cell>
          <cell r="E942">
            <v>2.41168672443106E-5</v>
          </cell>
          <cell r="F942">
            <v>1.54376762593316E-6</v>
          </cell>
          <cell r="G942">
            <v>2.0669285414893501E-6</v>
          </cell>
          <cell r="H942">
            <v>1.74376449333979E-4</v>
          </cell>
          <cell r="I942">
            <v>6.7744545654356396E-5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0.10534335899900017</v>
          </cell>
          <cell r="E943">
            <v>0.10536491294053185</v>
          </cell>
          <cell r="F943">
            <v>0.1052461075019801</v>
          </cell>
          <cell r="G943">
            <v>0.10521925628359345</v>
          </cell>
          <cell r="H943">
            <v>2.7292156889377413E-4</v>
          </cell>
          <cell r="I943">
            <v>2.3435674741226578E-4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56.573753365325736</v>
          </cell>
          <cell r="G944">
            <v>54.672119717248044</v>
          </cell>
          <cell r="H944">
            <v>52.407668463437396</v>
          </cell>
          <cell r="I944">
            <v>51.191516544489318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1.2925988617220872</v>
          </cell>
          <cell r="E945">
            <v>1.4867331882233885</v>
          </cell>
          <cell r="F945">
            <v>4.1560026711238492E-2</v>
          </cell>
          <cell r="G945">
            <v>4.7839282933279284E-2</v>
          </cell>
          <cell r="H945">
            <v>5.4510165973748088E-2</v>
          </cell>
          <cell r="I945">
            <v>4.8176232301925748E-2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3.5974300242850553E-2</v>
          </cell>
          <cell r="E946">
            <v>9.0289853388236026E-3</v>
          </cell>
          <cell r="G946">
            <v>2.7293702647024199E-8</v>
          </cell>
          <cell r="H946">
            <v>2.7397986385262344E-6</v>
          </cell>
          <cell r="I946">
            <v>1.3601317909802882E-6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0.37635176625120503</v>
          </cell>
          <cell r="E947">
            <v>0.43556208243403516</v>
          </cell>
          <cell r="F947">
            <v>2.1772286633507977E-2</v>
          </cell>
          <cell r="G947">
            <v>2.3066218472700316E-2</v>
          </cell>
          <cell r="H947">
            <v>2.2031550577803545E-2</v>
          </cell>
          <cell r="I947">
            <v>2.000537518745589E-2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1.0304576335794023E-4</v>
          </cell>
          <cell r="E948">
            <v>7.0089113456685913E-5</v>
          </cell>
          <cell r="F948">
            <v>1.7413467365364205E-6</v>
          </cell>
          <cell r="G948">
            <v>5.1178867440133339E-6</v>
          </cell>
          <cell r="H948">
            <v>1.0668260828925151E-6</v>
          </cell>
          <cell r="I948">
            <v>3.3135229847855316E-6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17.56533911922422</v>
          </cell>
          <cell r="E949">
            <v>19.507636071099387</v>
          </cell>
          <cell r="F949">
            <v>10.515871633115552</v>
          </cell>
          <cell r="G949">
            <v>7.390577757667586</v>
          </cell>
          <cell r="H949">
            <v>2.3451932895256893</v>
          </cell>
          <cell r="I949">
            <v>0.99185746052664447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4.3564614256680356E-4</v>
          </cell>
          <cell r="E950">
            <v>1.0936331959288201E-4</v>
          </cell>
          <cell r="F950">
            <v>2.2921825052665534</v>
          </cell>
          <cell r="G950">
            <v>5.6183827769449</v>
          </cell>
          <cell r="H950">
            <v>7.9261772037688329</v>
          </cell>
          <cell r="I950">
            <v>7.3269392092799395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7.4651842666938667E-2</v>
          </cell>
          <cell r="E951">
            <v>7.1944777385825151E-2</v>
          </cell>
          <cell r="F951">
            <v>2.1599155863135391E-2</v>
          </cell>
          <cell r="G951">
            <v>2.1352235450522835E-4</v>
          </cell>
          <cell r="H951">
            <v>2.6045710545938902E-6</v>
          </cell>
          <cell r="I951">
            <v>4.4401376789528902E-7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21.673635246748884</v>
          </cell>
          <cell r="E952">
            <v>19.94601400535846</v>
          </cell>
          <cell r="F952">
            <v>13.997939198204284</v>
          </cell>
          <cell r="G952">
            <v>6.7395899513256436</v>
          </cell>
          <cell r="H952">
            <v>1.2430843187811476</v>
          </cell>
          <cell r="I952">
            <v>7.7920255607030517E-2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5.1236777137615458E-2</v>
          </cell>
          <cell r="E953">
            <v>3.0585873177116345</v>
          </cell>
          <cell r="F953">
            <v>2.2594654116006518</v>
          </cell>
          <cell r="G953">
            <v>4.6031901113084785</v>
          </cell>
          <cell r="H953">
            <v>8.8121857659289216</v>
          </cell>
          <cell r="I953">
            <v>13.176747279719203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4.3826622883409847</v>
          </cell>
          <cell r="E954">
            <v>5.0341146015868823</v>
          </cell>
          <cell r="F954">
            <v>5.3739662113069446</v>
          </cell>
          <cell r="G954">
            <v>4.4810847854576856</v>
          </cell>
          <cell r="H954">
            <v>2.7587374477582074</v>
          </cell>
          <cell r="I954">
            <v>1.4778911855213708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3.1416576043955033</v>
          </cell>
          <cell r="E955">
            <v>3.5036328541361881</v>
          </cell>
          <cell r="F955">
            <v>1.42474850209679</v>
          </cell>
          <cell r="G955">
            <v>1.91925891798295</v>
          </cell>
          <cell r="H955">
            <v>2.2482842356540527</v>
          </cell>
          <cell r="I955">
            <v>2.1511158908807162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4.275501065275872</v>
          </cell>
          <cell r="E956">
            <v>4.4884719703188933</v>
          </cell>
          <cell r="F956">
            <v>0.78604082349436466</v>
          </cell>
          <cell r="G956">
            <v>0.18562114810776284</v>
          </cell>
          <cell r="H956">
            <v>3.2569077721299132E-3</v>
          </cell>
          <cell r="I956">
            <v>1.7402570740082813E-3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9.1528615349717946</v>
          </cell>
          <cell r="E957">
            <v>10.275742731473636</v>
          </cell>
          <cell r="F957">
            <v>19.841211148788371</v>
          </cell>
          <cell r="G957">
            <v>23.66507607342486</v>
          </cell>
          <cell r="H957">
            <v>26.995901674477448</v>
          </cell>
          <cell r="I957">
            <v>25.920533926042104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3.3793247722346247E-3</v>
          </cell>
          <cell r="E958">
            <v>8.2510358971173107E-5</v>
          </cell>
          <cell r="F958">
            <v>8.3768850312436573E-6</v>
          </cell>
          <cell r="G958">
            <v>2.3213752462959395E-6</v>
          </cell>
          <cell r="H958">
            <v>1.0665415729098681E-6</v>
          </cell>
          <cell r="I958">
            <v>1.6282388005124499E-6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1.5355497559361565E-3</v>
          </cell>
          <cell r="E959">
            <v>9.7466910965174569E-5</v>
          </cell>
          <cell r="F959">
            <v>2.8730657220459012E-2</v>
          </cell>
          <cell r="G959">
            <v>9.2754590335469463E-3</v>
          </cell>
          <cell r="H959">
            <v>8.8705653683495873E-3</v>
          </cell>
          <cell r="I959">
            <v>4.6303052784059113E-5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5.3346742698848405E-2</v>
          </cell>
          <cell r="E960">
            <v>1.0845662229245483E-2</v>
          </cell>
          <cell r="G960">
            <v>1.2153863134031265E-3</v>
          </cell>
          <cell r="H960">
            <v>5.5291296489805236E-3</v>
          </cell>
          <cell r="I960">
            <v>2.9001195260156665E-5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6.8040644546387385E-7</v>
          </cell>
          <cell r="F961">
            <v>8.819970147325921E-6</v>
          </cell>
          <cell r="G961">
            <v>6.524079239305699E-6</v>
          </cell>
          <cell r="H961">
            <v>1.9953696554971953E-5</v>
          </cell>
          <cell r="I961">
            <v>3.9049128600497206E-5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5.4882292454784591E-2</v>
          </cell>
          <cell r="E962">
            <v>1.0944807093310301E-2</v>
          </cell>
          <cell r="F962">
            <v>2.8739902123767896E-2</v>
          </cell>
          <cell r="G962">
            <v>1.0497826093054507E-2</v>
          </cell>
          <cell r="H962">
            <v>1.4419702267148265E-2</v>
          </cell>
          <cell r="I962">
            <v>1.1435337664471298E-4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4.9585764588724511E-2</v>
          </cell>
          <cell r="E963">
            <v>1.0633881821212931E-2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5.0086630897701531E-2</v>
          </cell>
          <cell r="E964">
            <v>1.0741294768901958E-2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4.9585764588724511E-2</v>
          </cell>
          <cell r="E965">
            <v>1.0633881821212931E-2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4.9141111514688603E-6</v>
          </cell>
          <cell r="E966">
            <v>7.1097189005333E-4</v>
          </cell>
          <cell r="F966">
            <v>1.92136168369646E-3</v>
          </cell>
          <cell r="G966">
            <v>1.4543420891858299E-3</v>
          </cell>
          <cell r="H966">
            <v>3.7184050152952799E-4</v>
          </cell>
          <cell r="I966">
            <v>8.4615873709208601E-8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6.8031151097001988E-3</v>
          </cell>
          <cell r="E967">
            <v>1.250232420343448E-3</v>
          </cell>
          <cell r="F967">
            <v>2.7360417696778699E-3</v>
          </cell>
          <cell r="G967">
            <v>2.7593559853082601E-3</v>
          </cell>
          <cell r="H967">
            <v>8.4770009264460017E-4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1.1224213228967623</v>
          </cell>
          <cell r="E968">
            <v>1.5105161791368851</v>
          </cell>
          <cell r="F968">
            <v>1.7527551748659835</v>
          </cell>
          <cell r="G968">
            <v>4.479332672322152</v>
          </cell>
          <cell r="H968">
            <v>4.8609470797893461</v>
          </cell>
          <cell r="I968">
            <v>1.0605184252216793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1.0125177658378992</v>
          </cell>
          <cell r="E969">
            <v>1.8801588990998974</v>
          </cell>
          <cell r="F969">
            <v>2.281999013168925</v>
          </cell>
          <cell r="G969">
            <v>7.0968776664517712</v>
          </cell>
          <cell r="H969">
            <v>4.4724495889601537</v>
          </cell>
          <cell r="I969">
            <v>0.98227334839764036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3.3906661475089357</v>
          </cell>
          <cell r="F970">
            <v>4.0347541880349107</v>
          </cell>
          <cell r="G970">
            <v>11.576210338773921</v>
          </cell>
          <cell r="H970">
            <v>9.3333966687494936</v>
          </cell>
          <cell r="I970">
            <v>2.0427917736193195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3.6347564297942201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8.8490692579320012</v>
          </cell>
          <cell r="H972">
            <v>4.845264858796952</v>
          </cell>
          <cell r="I972">
            <v>2.1770226232900427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2.6046226369936695E-2</v>
          </cell>
          <cell r="H973">
            <v>12.523242578350846</v>
          </cell>
          <cell r="I973">
            <v>29.089159303822051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2.6309319565592609E-2</v>
          </cell>
          <cell r="H974">
            <v>12.649739978132168</v>
          </cell>
          <cell r="I974">
            <v>29.382989195779849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3.5087113514596598E-3</v>
          </cell>
          <cell r="H975">
            <v>1.39165064422816</v>
          </cell>
          <cell r="I975">
            <v>2.2246583217234401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3.5087113514596598E-3</v>
          </cell>
          <cell r="H976">
            <v>1.6818156399286099</v>
          </cell>
          <cell r="I976">
            <v>3.9064739616520598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1.8458492722723452</v>
          </cell>
          <cell r="E977">
            <v>1.7757367649348701</v>
          </cell>
          <cell r="F977">
            <v>7.475386705960538E-3</v>
          </cell>
          <cell r="G977">
            <v>4.4939983356360997E-4</v>
          </cell>
          <cell r="H977">
            <v>7.010219912109766E-4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210.21319129594499</v>
          </cell>
          <cell r="E978">
            <v>201.35738296146801</v>
          </cell>
          <cell r="F978">
            <v>0.84222006600305399</v>
          </cell>
          <cell r="G978">
            <v>5.0095964074408902E-2</v>
          </cell>
          <cell r="H978">
            <v>7.6524817754024699E-2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2.7300414454018789</v>
          </cell>
          <cell r="E979">
            <v>2.6150309475515354</v>
          </cell>
          <cell r="F979">
            <v>1.0937922935104583E-2</v>
          </cell>
          <cell r="G979">
            <v>6.5059693603128485E-4</v>
          </cell>
          <cell r="H979">
            <v>9.9382880200032117E-4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2.26036907407395E-3</v>
          </cell>
          <cell r="E980">
            <v>4.78441463302328E-5</v>
          </cell>
          <cell r="F980">
            <v>3.3222180358330797E-5</v>
          </cell>
          <cell r="G980">
            <v>6.8084894222697606E-5</v>
          </cell>
          <cell r="H980">
            <v>7.6568985967605604E-5</v>
          </cell>
          <cell r="I980">
            <v>5.6901090554294401E-6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0.10297736907407395</v>
          </cell>
          <cell r="E981">
            <v>0.10287773671799179</v>
          </cell>
          <cell r="F981">
            <v>7.0985054603650566E-4</v>
          </cell>
          <cell r="G981">
            <v>4.3786009571222806E-5</v>
          </cell>
          <cell r="H981">
            <v>6.6064551389202996E-5</v>
          </cell>
          <cell r="I981">
            <v>-9.0408251878320006E-6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3.6347564297944999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8.8490692579299548</v>
          </cell>
          <cell r="H983">
            <v>4.8452648587950193</v>
          </cell>
          <cell r="I983">
            <v>2.1770226232879963</v>
          </cell>
        </row>
        <row r="984">
          <cell r="A984" t="str">
            <v>RHSA-WHSTG-ELCHP</v>
          </cell>
          <cell r="B984" t="str">
            <v>VAR_fout</v>
          </cell>
          <cell r="C984" t="str">
            <v>RHSA-WHAELCH</v>
          </cell>
          <cell r="D984">
            <v>5.5737280044631795E-8</v>
          </cell>
          <cell r="E984">
            <v>1.230080779103527E-6</v>
          </cell>
          <cell r="F984">
            <v>0.26666836559138829</v>
          </cell>
          <cell r="G984">
            <v>0.89374355302607278</v>
          </cell>
          <cell r="H984">
            <v>1.1615363944958985</v>
          </cell>
          <cell r="I984">
            <v>1.4380285558329422</v>
          </cell>
        </row>
        <row r="985">
          <cell r="A985" t="str">
            <v>RHSA-WHSTG-ELCHP</v>
          </cell>
          <cell r="B985" t="str">
            <v>VAR_fin</v>
          </cell>
          <cell r="C985" t="str">
            <v>RHSA-WHAELCH</v>
          </cell>
          <cell r="D985">
            <v>7.0410241009578084E-5</v>
          </cell>
          <cell r="E985">
            <v>4.8749018491063122E-5</v>
          </cell>
          <cell r="F985">
            <v>0.26667748607995828</v>
          </cell>
          <cell r="G985">
            <v>0.89377659385376851</v>
          </cell>
          <cell r="H985">
            <v>1.161591999400875</v>
          </cell>
          <cell r="I985">
            <v>1.4380719913832785</v>
          </cell>
        </row>
        <row r="986">
          <cell r="A986" t="str">
            <v>RHSA-WHSTG-ELCHP</v>
          </cell>
          <cell r="B986" t="str">
            <v>VAR_ncap</v>
          </cell>
          <cell r="C986" t="str">
            <v>-</v>
          </cell>
          <cell r="D986">
            <v>2.6318889241555399E-2</v>
          </cell>
          <cell r="E986">
            <v>3.1855378451754499E-2</v>
          </cell>
          <cell r="F986">
            <v>1.86931864906341E-2</v>
          </cell>
          <cell r="G986">
            <v>3.9845633401191301E-2</v>
          </cell>
          <cell r="H986">
            <v>9.0521613170404899E-2</v>
          </cell>
          <cell r="I986">
            <v>0.142027093739542</v>
          </cell>
        </row>
        <row r="987">
          <cell r="A987" t="str">
            <v>RHSA-WHSTG-ELCHP</v>
          </cell>
          <cell r="B987" t="str">
            <v>VAR_cap</v>
          </cell>
          <cell r="C987" t="str">
            <v>-</v>
          </cell>
          <cell r="D987">
            <v>2.6320128770958486E-2</v>
          </cell>
          <cell r="E987">
            <v>5.7917790080948356E-2</v>
          </cell>
          <cell r="F987">
            <v>7.6534626414308068E-2</v>
          </cell>
          <cell r="G987">
            <v>0.11631457050719347</v>
          </cell>
          <cell r="H987">
            <v>0.19459506374694668</v>
          </cell>
          <cell r="I987">
            <v>0.23877572805428471</v>
          </cell>
        </row>
        <row r="988">
          <cell r="A988" t="str">
            <v>RHNM-SHCONBR3</v>
          </cell>
          <cell r="B988" t="str">
            <v>VAR_ncap</v>
          </cell>
          <cell r="C988" t="str">
            <v>-</v>
          </cell>
          <cell r="F988">
            <v>375</v>
          </cell>
          <cell r="G988">
            <v>3.6347564297942201</v>
          </cell>
        </row>
        <row r="989">
          <cell r="A989" t="str">
            <v>RHNM-SHCONBR3</v>
          </cell>
          <cell r="B989" t="str">
            <v>VAR_cap</v>
          </cell>
          <cell r="C989" t="str">
            <v>-</v>
          </cell>
          <cell r="F989">
            <v>375</v>
          </cell>
          <cell r="G989">
            <v>8.8490692579320012</v>
          </cell>
          <cell r="H989">
            <v>4.845264858796952</v>
          </cell>
          <cell r="I989">
            <v>2.1770226232900427</v>
          </cell>
        </row>
        <row r="990">
          <cell r="A990" t="str">
            <v>RES-ELCSPECADV</v>
          </cell>
          <cell r="B990" t="str">
            <v>VAR_fout</v>
          </cell>
          <cell r="C990" t="str">
            <v>RHSA-ELS</v>
          </cell>
          <cell r="F990">
            <v>3.8982371078305603E-5</v>
          </cell>
          <cell r="G990">
            <v>9.2904812074257617</v>
          </cell>
          <cell r="H990">
            <v>18.436399026064613</v>
          </cell>
          <cell r="I990">
            <v>27.772657292832818</v>
          </cell>
        </row>
        <row r="991">
          <cell r="A991" t="str">
            <v>RES-ELCSPECADV</v>
          </cell>
          <cell r="B991" t="str">
            <v>VAR_fin</v>
          </cell>
          <cell r="C991" t="str">
            <v>RHSA_ELC</v>
          </cell>
          <cell r="F991">
            <v>2.5988247385537066E-5</v>
          </cell>
          <cell r="G991">
            <v>6.1936541382838435</v>
          </cell>
          <cell r="H991">
            <v>12.290932684043051</v>
          </cell>
          <cell r="I991">
            <v>18.515104861888549</v>
          </cell>
        </row>
        <row r="992">
          <cell r="A992" t="str">
            <v>RES-ELCSPECADV</v>
          </cell>
          <cell r="B992" t="str">
            <v>VAR_ncap</v>
          </cell>
          <cell r="C992" t="str">
            <v>-</v>
          </cell>
          <cell r="F992">
            <v>1.4746981675588301E-4</v>
          </cell>
          <cell r="G992">
            <v>0.98184984448755697</v>
          </cell>
          <cell r="H992">
            <v>0.49368288000393801</v>
          </cell>
          <cell r="I992">
            <v>1.32779094924525</v>
          </cell>
        </row>
        <row r="993">
          <cell r="A993" t="str">
            <v>RES-ELCSPECADV</v>
          </cell>
          <cell r="B993" t="str">
            <v>VAR_cap</v>
          </cell>
          <cell r="C993" t="str">
            <v>-</v>
          </cell>
          <cell r="F993">
            <v>1.4746981675588301E-4</v>
          </cell>
          <cell r="G993">
            <v>0.98199702968604796</v>
          </cell>
          <cell r="H993">
            <v>1.9487143342507114</v>
          </cell>
          <cell r="I993">
            <v>2.9355499125989017</v>
          </cell>
        </row>
        <row r="994">
          <cell r="A994" t="str">
            <v>ITOT-SWHSTG-ELCHP</v>
          </cell>
          <cell r="B994" t="str">
            <v>VAR_fout</v>
          </cell>
          <cell r="C994" t="str">
            <v>ITOT-SWHAELCH</v>
          </cell>
          <cell r="D994">
            <v>4.3143895060605695E-4</v>
          </cell>
          <cell r="E994">
            <v>1.0085152868201383E-4</v>
          </cell>
          <cell r="F994">
            <v>1.3003211494887704E-2</v>
          </cell>
          <cell r="G994">
            <v>1.6522175247264304E-3</v>
          </cell>
          <cell r="H994">
            <v>3.1005167957536214E-2</v>
          </cell>
          <cell r="I994">
            <v>0.55431421723445884</v>
          </cell>
        </row>
        <row r="995">
          <cell r="A995" t="str">
            <v>ITOT-SWHSTG-ELCHP</v>
          </cell>
          <cell r="B995" t="str">
            <v>VAR_fin</v>
          </cell>
          <cell r="C995" t="str">
            <v>ITOT-SWHAELCH</v>
          </cell>
          <cell r="D995">
            <v>5.8168784304681476E-4</v>
          </cell>
          <cell r="E995">
            <v>1.2360588509389942E-4</v>
          </cell>
          <cell r="F995">
            <v>1.677612569398193E-2</v>
          </cell>
          <cell r="G995">
            <v>2.0848098312020208E-3</v>
          </cell>
          <cell r="H995">
            <v>3.6503319673886682E-2</v>
          </cell>
          <cell r="I995">
            <v>0.61593723680723145</v>
          </cell>
        </row>
        <row r="996">
          <cell r="A996" t="str">
            <v>ITOT-SWHSTG-ELCHP</v>
          </cell>
          <cell r="B996" t="str">
            <v>VAR_ncap</v>
          </cell>
          <cell r="C996" t="str">
            <v>-</v>
          </cell>
          <cell r="D996">
            <v>1.9501686916344099E-2</v>
          </cell>
          <cell r="E996">
            <v>6.2806521095366098E-5</v>
          </cell>
          <cell r="F996">
            <v>3.48292251000358E-3</v>
          </cell>
          <cell r="G996">
            <v>5.3840766188887397E-2</v>
          </cell>
          <cell r="H996">
            <v>2.39736521671839E-2</v>
          </cell>
          <cell r="I996">
            <v>5.2449494054432597E-2</v>
          </cell>
        </row>
        <row r="997">
          <cell r="A997" t="str">
            <v>ITOT-SWHSTG-ELCHP</v>
          </cell>
          <cell r="B997" t="str">
            <v>VAR_cap</v>
          </cell>
          <cell r="C997" t="str">
            <v>-</v>
          </cell>
          <cell r="D997">
            <v>1.9501686916344099E-2</v>
          </cell>
          <cell r="E997">
            <v>1.8033044297193851E-2</v>
          </cell>
          <cell r="F997">
            <v>2.1669772973650102E-2</v>
          </cell>
          <cell r="G997">
            <v>7.5690175436887108E-2</v>
          </cell>
          <cell r="H997">
            <v>7.6287981879306854E-2</v>
          </cell>
          <cell r="I997">
            <v>7.610016505513946E-2</v>
          </cell>
        </row>
        <row r="998">
          <cell r="A998" t="str">
            <v>D-RHNS_LTH_CHPWOD</v>
          </cell>
          <cell r="B998" t="str">
            <v>VAR_fout</v>
          </cell>
          <cell r="C998" t="str">
            <v>RHNS_LTH_CHPWOD_ON</v>
          </cell>
          <cell r="D998">
            <v>1.5431855736114934E-4</v>
          </cell>
          <cell r="E998">
            <v>4.4695291450759263E-5</v>
          </cell>
          <cell r="F998">
            <v>2.2276375601431035E-5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RHSA_LTH</v>
          </cell>
          <cell r="D999">
            <v>8.8129703321426661E-5</v>
          </cell>
          <cell r="E999">
            <v>1.9144736001423858E-4</v>
          </cell>
          <cell r="F999">
            <v>6.8535105402509563E-5</v>
          </cell>
          <cell r="G999">
            <v>3.9624689685923741E-3</v>
          </cell>
          <cell r="H999">
            <v>1.1537860458022801E-2</v>
          </cell>
          <cell r="I999">
            <v>4.2461055847564247E-3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LTH</v>
          </cell>
          <cell r="E1000">
            <v>4.5722174316290857E-6</v>
          </cell>
          <cell r="F1000">
            <v>2.6273857422656471E-6</v>
          </cell>
          <cell r="G1000">
            <v>1.4852112068267372E-6</v>
          </cell>
          <cell r="H1000">
            <v>1.4881167832172651E-5</v>
          </cell>
          <cell r="I1000">
            <v>7.9769363482778606E-6</v>
          </cell>
        </row>
        <row r="1001">
          <cell r="A1001" t="str">
            <v>D-RHNS_LTH_CHPWOD</v>
          </cell>
          <cell r="B1001" t="str">
            <v>VAR_fin</v>
          </cell>
          <cell r="C1001" t="str">
            <v>RHNS_LTH_CHPWOD</v>
          </cell>
          <cell r="D1001">
            <v>2.4244826068257601E-4</v>
          </cell>
          <cell r="E1001">
            <v>2.4071486889662688E-4</v>
          </cell>
          <cell r="F1001">
            <v>9.3438866746206337E-5</v>
          </cell>
          <cell r="G1001">
            <v>3.9651693766746534E-3</v>
          </cell>
          <cell r="H1001">
            <v>1.1552741625854969E-2</v>
          </cell>
          <cell r="I1001">
            <v>4.2545164237372665E-3</v>
          </cell>
        </row>
        <row r="1002">
          <cell r="A1002" t="str">
            <v>RHNM-SHCONBR4</v>
          </cell>
          <cell r="B1002" t="str">
            <v>VAR_ncap</v>
          </cell>
          <cell r="C1002" t="str">
            <v>-</v>
          </cell>
          <cell r="F1002">
            <v>375</v>
          </cell>
          <cell r="G1002">
            <v>3.6347564297944999</v>
          </cell>
        </row>
        <row r="1003">
          <cell r="A1003" t="str">
            <v>RHNM-SHCONBR4</v>
          </cell>
          <cell r="B1003" t="str">
            <v>VAR_cap</v>
          </cell>
          <cell r="C1003" t="str">
            <v>-</v>
          </cell>
          <cell r="F1003">
            <v>375</v>
          </cell>
          <cell r="G1003">
            <v>8.8490692579299548</v>
          </cell>
          <cell r="H1003">
            <v>4.8452648587950193</v>
          </cell>
          <cell r="I1003">
            <v>2.1770226232879963</v>
          </cell>
        </row>
        <row r="1004">
          <cell r="A1004" t="str">
            <v>D-SBIO</v>
          </cell>
          <cell r="B1004" t="str">
            <v>VAR_fout</v>
          </cell>
          <cell r="C1004" t="str">
            <v>SBIO</v>
          </cell>
          <cell r="D1004">
            <v>4.0477231290520583</v>
          </cell>
          <cell r="E1004">
            <v>4.584380308835553</v>
          </cell>
          <cell r="F1004">
            <v>3.0479949188832305</v>
          </cell>
          <cell r="G1004">
            <v>3.0329002079491518</v>
          </cell>
          <cell r="H1004">
            <v>2.9504900244446941</v>
          </cell>
          <cell r="I1004">
            <v>2.8933256683265012</v>
          </cell>
        </row>
        <row r="1005">
          <cell r="A1005" t="str">
            <v>D-SBIO</v>
          </cell>
          <cell r="B1005" t="str">
            <v>VAR_fin</v>
          </cell>
          <cell r="C1005" t="str">
            <v>BIO</v>
          </cell>
          <cell r="D1005">
            <v>4.0477231290520583</v>
          </cell>
          <cell r="E1005">
            <v>4.584380308835553</v>
          </cell>
          <cell r="F1005">
            <v>3.0479949188832305</v>
          </cell>
          <cell r="G1005">
            <v>3.0329002079491518</v>
          </cell>
          <cell r="H1005">
            <v>2.9504900244446941</v>
          </cell>
          <cell r="I1005">
            <v>2.8933256683265012</v>
          </cell>
        </row>
        <row r="1006">
          <cell r="A1006" t="str">
            <v>RHEM-SHDEM</v>
          </cell>
          <cell r="B1006" t="str">
            <v>VAR_fout</v>
          </cell>
          <cell r="C1006" t="str">
            <v>RHEM-SHD</v>
          </cell>
          <cell r="D1006">
            <v>66.986774791699034</v>
          </cell>
          <cell r="E1006">
            <v>66.782026660973159</v>
          </cell>
          <cell r="F1006">
            <v>66.358133919116412</v>
          </cell>
          <cell r="G1006">
            <v>63.762271100062833</v>
          </cell>
          <cell r="H1006">
            <v>59.722449638396114</v>
          </cell>
          <cell r="I1006">
            <v>57.130228447125781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RHEM-SHNST</v>
          </cell>
          <cell r="D1007">
            <v>6.2235803444530039E-4</v>
          </cell>
          <cell r="E1007">
            <v>9.6625140008215488E-5</v>
          </cell>
          <cell r="F1007">
            <v>1.1838426474962085E-5</v>
          </cell>
          <cell r="G1007">
            <v>1.8464445555968003E-6</v>
          </cell>
          <cell r="H1007">
            <v>2.4204684144246002E-6</v>
          </cell>
          <cell r="I1007">
            <v>3.156642204719287E-6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RHEM-SHPLT</v>
          </cell>
          <cell r="D1008">
            <v>1.3999802296261059</v>
          </cell>
          <cell r="E1008">
            <v>1.6076124733391539</v>
          </cell>
          <cell r="F1008">
            <v>0.29943449647860776</v>
          </cell>
          <cell r="G1008">
            <v>0.34781191722156729</v>
          </cell>
          <cell r="H1008">
            <v>0.36951057398271481</v>
          </cell>
          <cell r="I1008">
            <v>0.29498966470458238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RHEM-SHNGAH</v>
          </cell>
          <cell r="D1009">
            <v>4.9465539224713201E-4</v>
          </cell>
          <cell r="E1009">
            <v>1.1935395218900576E-4</v>
          </cell>
          <cell r="F1009">
            <v>2.4879318057306143</v>
          </cell>
          <cell r="G1009">
            <v>7.0943403274941899</v>
          </cell>
          <cell r="H1009">
            <v>10.761090218139824</v>
          </cell>
          <cell r="I1009">
            <v>9.5391663308295573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RHEM-SHLTHC-WOD</v>
          </cell>
          <cell r="D1010">
            <v>5.6881743552673794E-4</v>
          </cell>
          <cell r="E1010">
            <v>9.7722288278657358E-5</v>
          </cell>
          <cell r="G1010">
            <v>6.1684458836426208E-6</v>
          </cell>
          <cell r="H1010">
            <v>2.6936357081639444E-6</v>
          </cell>
          <cell r="I1010">
            <v>3.227172499931763E-6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RHEM-SHSOL</v>
          </cell>
          <cell r="D1011">
            <v>0.4086287356601922</v>
          </cell>
          <cell r="E1011">
            <v>0.47099497413324981</v>
          </cell>
          <cell r="F1011">
            <v>9.5704689989846714E-3</v>
          </cell>
          <cell r="G1011">
            <v>1.1428693457117767E-2</v>
          </cell>
          <cell r="H1011">
            <v>1.0857672953893177E-2</v>
          </cell>
          <cell r="I1011">
            <v>8.9520191833270014E-3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RHEM-SHLTHD</v>
          </cell>
          <cell r="D1012">
            <v>3.3625237785506967</v>
          </cell>
          <cell r="E1012">
            <v>3.7885264348228218</v>
          </cell>
          <cell r="F1012">
            <v>4.4161003149346882</v>
          </cell>
          <cell r="G1012">
            <v>5.2325081353175928</v>
          </cell>
          <cell r="H1012">
            <v>5.6777417391747642</v>
          </cell>
          <cell r="I1012">
            <v>5.1515996342893402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RHEM-SHNGA</v>
          </cell>
          <cell r="D1013">
            <v>18.997701686480461</v>
          </cell>
          <cell r="E1013">
            <v>18.838107853713552</v>
          </cell>
          <cell r="F1013">
            <v>21.244798495301605</v>
          </cell>
          <cell r="G1013">
            <v>15.316756492451812</v>
          </cell>
          <cell r="H1013">
            <v>4.0625727646784782</v>
          </cell>
          <cell r="I1013">
            <v>1.6379300145351277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RHEM-SHELCB</v>
          </cell>
          <cell r="D1014">
            <v>4.6265475697185448</v>
          </cell>
          <cell r="E1014">
            <v>3.1684255409837609</v>
          </cell>
          <cell r="F1014">
            <v>3.6784923994160744E-2</v>
          </cell>
          <cell r="G1014">
            <v>1.1598477194783286E-2</v>
          </cell>
          <cell r="H1014">
            <v>2.3327820731414298E-3</v>
          </cell>
          <cell r="I1014">
            <v>2.9142600168580494E-3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RHEM-SHELCH</v>
          </cell>
          <cell r="D1015">
            <v>9.9009057471561555</v>
          </cell>
          <cell r="E1015">
            <v>11.654995169237786</v>
          </cell>
          <cell r="F1015">
            <v>9.9808654558587389</v>
          </cell>
          <cell r="G1015">
            <v>14.754797545028209</v>
          </cell>
          <cell r="H1015">
            <v>21.513251665180729</v>
          </cell>
          <cell r="I1015">
            <v>21.365196461634277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RHEM-SHLFO</v>
          </cell>
          <cell r="D1016">
            <v>23.441866069946979</v>
          </cell>
          <cell r="E1016">
            <v>18.748460603315298</v>
          </cell>
          <cell r="F1016">
            <v>19.657654652620653</v>
          </cell>
          <cell r="G1016">
            <v>10.222810452026749</v>
          </cell>
          <cell r="H1016">
            <v>2.4546876872566128</v>
          </cell>
          <cell r="I1016">
            <v>0.2393779874774713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RHEM-SHCON</v>
          </cell>
          <cell r="D1017">
            <v>5.6816301519918747E-2</v>
          </cell>
          <cell r="E1017">
            <v>3.1372398736680704</v>
          </cell>
          <cell r="F1017">
            <v>2.8692189413472997</v>
          </cell>
          <cell r="G1017">
            <v>5.9168658284679738</v>
          </cell>
          <cell r="H1017">
            <v>11.2890346533616</v>
          </cell>
          <cell r="I1017">
            <v>16.659139789715937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RHEM-SHWOD</v>
          </cell>
          <cell r="D1018">
            <v>4.7424567261864983</v>
          </cell>
          <cell r="E1018">
            <v>5.3591225270835805</v>
          </cell>
          <cell r="F1018">
            <v>5.3584090535266427</v>
          </cell>
          <cell r="G1018">
            <v>4.8551470481352901</v>
          </cell>
          <cell r="H1018">
            <v>3.5831144708750635</v>
          </cell>
          <cell r="I1018">
            <v>2.2324416085966825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RHEM-SHLTHC-NGA</v>
          </cell>
          <cell r="D1019">
            <v>4.9823069093892593E-2</v>
          </cell>
          <cell r="E1019">
            <v>1.0587911892659627E-2</v>
          </cell>
          <cell r="G1019">
            <v>3.052936933642879E-6</v>
          </cell>
          <cell r="H1019">
            <v>3.0391771580081163E-6</v>
          </cell>
          <cell r="I1019">
            <v>2.8845442174659768E-6</v>
          </cell>
        </row>
        <row r="1020">
          <cell r="A1020" t="str">
            <v>ITOT-SWHH2BR</v>
          </cell>
          <cell r="B1020" t="str">
            <v>VAR_fout</v>
          </cell>
          <cell r="C1020" t="str">
            <v>ITOT-SWH</v>
          </cell>
          <cell r="H1020">
            <v>12.949414394482412</v>
          </cell>
          <cell r="I1020">
            <v>17.393372641604888</v>
          </cell>
        </row>
        <row r="1021">
          <cell r="A1021" t="str">
            <v>ITOT-SWHH2BR</v>
          </cell>
          <cell r="B1021" t="str">
            <v>VAR_fin</v>
          </cell>
          <cell r="C1021" t="str">
            <v>IH2</v>
          </cell>
          <cell r="H1021">
            <v>16.016067740845966</v>
          </cell>
          <cell r="I1021">
            <v>21.419102115075265</v>
          </cell>
        </row>
        <row r="1022">
          <cell r="A1022" t="str">
            <v>ITOT-SWHH2BR</v>
          </cell>
          <cell r="B1022" t="str">
            <v>VAR_ncap</v>
          </cell>
          <cell r="C1022" t="str">
            <v>-</v>
          </cell>
          <cell r="H1022">
            <v>0.51939800975294304</v>
          </cell>
          <cell r="I1022">
            <v>0.82813089770229498</v>
          </cell>
        </row>
        <row r="1023">
          <cell r="A1023" t="str">
            <v>ITOT-SWHH2BR</v>
          </cell>
          <cell r="B1023" t="str">
            <v>VAR_cap</v>
          </cell>
          <cell r="C1023" t="str">
            <v>-</v>
          </cell>
          <cell r="H1023">
            <v>1.0633405415995394</v>
          </cell>
          <cell r="I1023">
            <v>1.4351325617163611</v>
          </cell>
        </row>
        <row r="1024">
          <cell r="A1024" t="str">
            <v>RHNS-SHSTG-ELC</v>
          </cell>
          <cell r="B1024" t="str">
            <v>VAR_fout</v>
          </cell>
          <cell r="C1024" t="str">
            <v>RHNS-SHAELCB</v>
          </cell>
          <cell r="E1024">
            <v>1.6043605333075449E-5</v>
          </cell>
          <cell r="F1024">
            <v>3.8569745391733726E-4</v>
          </cell>
          <cell r="G1024">
            <v>1.3848502630331905E-3</v>
          </cell>
          <cell r="H1024">
            <v>1.393664163046076E-3</v>
          </cell>
          <cell r="I1024">
            <v>6.6552373179007884E-4</v>
          </cell>
        </row>
        <row r="1025">
          <cell r="A1025" t="str">
            <v>RHNS-SHSTG-ELC</v>
          </cell>
          <cell r="B1025" t="str">
            <v>VAR_fin</v>
          </cell>
          <cell r="C1025" t="str">
            <v>RHNS-SHAELCB</v>
          </cell>
          <cell r="E1025">
            <v>3.1338414573639966E-6</v>
          </cell>
          <cell r="F1025">
            <v>3.6746184461263008E-4</v>
          </cell>
          <cell r="G1025">
            <v>1.3692168293165344E-3</v>
          </cell>
          <cell r="H1025">
            <v>1.3903713922502972E-3</v>
          </cell>
          <cell r="I1025">
            <v>6.6659835344322143E-4</v>
          </cell>
        </row>
        <row r="1026">
          <cell r="A1026" t="str">
            <v>RHNS-SHSTG-ELC</v>
          </cell>
          <cell r="B1026" t="str">
            <v>VAR_ncap</v>
          </cell>
          <cell r="C1026" t="str">
            <v>-</v>
          </cell>
          <cell r="D1026">
            <v>1.02111415296811E-4</v>
          </cell>
          <cell r="E1026">
            <v>1.64974270079746E-4</v>
          </cell>
          <cell r="F1026">
            <v>7.4139716422155495E-4</v>
          </cell>
          <cell r="G1026">
            <v>8.1540279555204894E-5</v>
          </cell>
          <cell r="H1026">
            <v>1.6989119601576501E-4</v>
          </cell>
          <cell r="I1026">
            <v>6.4408702540420598E-5</v>
          </cell>
        </row>
        <row r="1027">
          <cell r="A1027" t="str">
            <v>RHNS-SHSTG-ELC</v>
          </cell>
          <cell r="B1027" t="str">
            <v>VAR_cap</v>
          </cell>
          <cell r="C1027" t="str">
            <v>-</v>
          </cell>
          <cell r="D1027">
            <v>1.02111415296811E-4</v>
          </cell>
          <cell r="E1027">
            <v>2.459170408444782E-4</v>
          </cell>
          <cell r="F1027">
            <v>9.5317318259304331E-4</v>
          </cell>
          <cell r="G1027">
            <v>9.5448134913447607E-4</v>
          </cell>
          <cell r="H1027">
            <v>3.9035093201919904E-4</v>
          </cell>
          <cell r="I1027">
            <v>1.6650060100987268E-4</v>
          </cell>
        </row>
        <row r="1028">
          <cell r="A1028" t="str">
            <v>RHES-SHCOABR</v>
          </cell>
          <cell r="B1028" t="str">
            <v>VAR_fout</v>
          </cell>
          <cell r="C1028" t="str">
            <v>CO2_R</v>
          </cell>
          <cell r="D1028">
            <v>9.2714494253999096</v>
          </cell>
          <cell r="E1028">
            <v>9.2706171258528407</v>
          </cell>
          <cell r="F1028">
            <v>2.4989238761534498</v>
          </cell>
          <cell r="G1028">
            <v>2.11682684606645E-2</v>
          </cell>
        </row>
        <row r="1029">
          <cell r="A1029" t="str">
            <v>RHES-SHCOABR</v>
          </cell>
          <cell r="B1029" t="str">
            <v>VAR_fout</v>
          </cell>
          <cell r="C1029" t="str">
            <v>RHES-SHCOA</v>
          </cell>
          <cell r="D1029">
            <v>7.2011257673008991E-2</v>
          </cell>
          <cell r="E1029">
            <v>7.2004793210507567E-2</v>
          </cell>
          <cell r="F1029">
            <v>2.1546834228583642E-2</v>
          </cell>
          <cell r="G1029">
            <v>1.8268192846312406E-4</v>
          </cell>
        </row>
        <row r="1030">
          <cell r="A1030" t="str">
            <v>RHES-SHCOABR</v>
          </cell>
          <cell r="B1030" t="str">
            <v>VAR_fin</v>
          </cell>
          <cell r="C1030" t="str">
            <v>RCOA</v>
          </cell>
          <cell r="D1030">
            <v>0.10001563565695698</v>
          </cell>
          <cell r="E1030">
            <v>0.10000665723681604</v>
          </cell>
          <cell r="F1030">
            <v>2.6957107617620768E-2</v>
          </cell>
          <cell r="G1030">
            <v>2.2835241057890516E-4</v>
          </cell>
        </row>
        <row r="1031">
          <cell r="A1031" t="str">
            <v>RHES-SHCOABR</v>
          </cell>
          <cell r="B1031" t="str">
            <v>VAR_cap</v>
          </cell>
          <cell r="C1031" t="str">
            <v>-</v>
          </cell>
          <cell r="D1031">
            <v>7.0000000000000001E-3</v>
          </cell>
          <cell r="E1031">
            <v>6.9879747682473417E-3</v>
          </cell>
          <cell r="F1031">
            <v>2.9115264894507406E-3</v>
          </cell>
          <cell r="G1031">
            <v>2.5480212792610389E-5</v>
          </cell>
        </row>
        <row r="1032">
          <cell r="A1032" t="str">
            <v>D-INGA</v>
          </cell>
          <cell r="B1032" t="str">
            <v>VAR_fout</v>
          </cell>
          <cell r="C1032" t="str">
            <v>CO2</v>
          </cell>
          <cell r="D1032">
            <v>2102.7323354888399</v>
          </cell>
          <cell r="E1032">
            <v>1697.0932756622899</v>
          </cell>
          <cell r="F1032">
            <v>1605.31530922301</v>
          </cell>
          <cell r="G1032">
            <v>1113.6681667369501</v>
          </cell>
          <cell r="H1032">
            <v>196.088540311575</v>
          </cell>
          <cell r="I1032">
            <v>86.701511827517294</v>
          </cell>
        </row>
        <row r="1033">
          <cell r="A1033" t="str">
            <v>D-INGA</v>
          </cell>
          <cell r="B1033" t="str">
            <v>VAR_fout</v>
          </cell>
          <cell r="C1033" t="str">
            <v>IH2</v>
          </cell>
          <cell r="H1033">
            <v>0.18278140827376654</v>
          </cell>
          <cell r="I1033">
            <v>0.12368861951993831</v>
          </cell>
        </row>
        <row r="1034">
          <cell r="A1034" t="str">
            <v>D-INGA</v>
          </cell>
          <cell r="B1034" t="str">
            <v>VAR_fout</v>
          </cell>
          <cell r="C1034" t="str">
            <v>INGA</v>
          </cell>
          <cell r="D1034">
            <v>37.489977382904698</v>
          </cell>
          <cell r="E1034">
            <v>29.994983228121676</v>
          </cell>
          <cell r="F1034">
            <v>29.4654600109602</v>
          </cell>
          <cell r="G1034">
            <v>22.113956962733592</v>
          </cell>
          <cell r="H1034">
            <v>5.8959722914160295</v>
          </cell>
          <cell r="I1034">
            <v>3.9875489527715744</v>
          </cell>
        </row>
        <row r="1035">
          <cell r="A1035" t="str">
            <v>D-INGA</v>
          </cell>
          <cell r="B1035" t="str">
            <v>VAR_fin</v>
          </cell>
          <cell r="C1035" t="str">
            <v>NGA</v>
          </cell>
          <cell r="D1035">
            <v>37.282488217887249</v>
          </cell>
          <cell r="E1035">
            <v>30.09030630606896</v>
          </cell>
          <cell r="F1035">
            <v>28.463037397571053</v>
          </cell>
          <cell r="G1035">
            <v>19.745889481151583</v>
          </cell>
          <cell r="H1035">
            <v>3.4767471686449327</v>
          </cell>
          <cell r="I1035">
            <v>1.5372608480056265</v>
          </cell>
        </row>
        <row r="1036">
          <cell r="A1036" t="str">
            <v>D-INGA</v>
          </cell>
          <cell r="B1036" t="str">
            <v>VAR_fin</v>
          </cell>
          <cell r="C1036" t="str">
            <v>BNGA</v>
          </cell>
          <cell r="D1036">
            <v>0.32725538112089314</v>
          </cell>
          <cell r="E1036">
            <v>6.9648348315104946E-4</v>
          </cell>
          <cell r="F1036">
            <v>1.0965535491114422</v>
          </cell>
          <cell r="G1036">
            <v>2.4389992206746638</v>
          </cell>
          <cell r="H1036">
            <v>2.4390041953893684</v>
          </cell>
          <cell r="I1036">
            <v>2.4638677176943804</v>
          </cell>
        </row>
        <row r="1037">
          <cell r="A1037" t="str">
            <v>D-INGA</v>
          </cell>
          <cell r="B1037" t="str">
            <v>VAR_fin</v>
          </cell>
          <cell r="C1037" t="str">
            <v>H2</v>
          </cell>
          <cell r="H1037">
            <v>0.18277679223112911</v>
          </cell>
          <cell r="I1037">
            <v>0.1236821526335746</v>
          </cell>
        </row>
        <row r="1038">
          <cell r="A1038" t="str">
            <v>D-INGA</v>
          </cell>
          <cell r="B1038" t="str">
            <v>VAR_ncap</v>
          </cell>
          <cell r="C1038" t="str">
            <v>-</v>
          </cell>
          <cell r="D1038">
            <v>3.6916874999124601E-6</v>
          </cell>
          <cell r="E1038">
            <v>1.4229560395754499E-6</v>
          </cell>
          <cell r="F1038">
            <v>1.7283864292622999E-6</v>
          </cell>
          <cell r="G1038">
            <v>2.4211930004003902E-6</v>
          </cell>
          <cell r="H1038">
            <v>1.3311570209207E-5</v>
          </cell>
          <cell r="I1038">
            <v>4.47511270414988E-5</v>
          </cell>
        </row>
        <row r="1039">
          <cell r="A1039" t="str">
            <v>D-INGA</v>
          </cell>
          <cell r="B1039" t="str">
            <v>VAR_cap</v>
          </cell>
          <cell r="C1039" t="str">
            <v>-</v>
          </cell>
          <cell r="D1039">
            <v>1.9844870619535999</v>
          </cell>
          <cell r="E1039">
            <v>1.9844884849096396</v>
          </cell>
          <cell r="F1039">
            <v>1.9844902132960687</v>
          </cell>
          <cell r="G1039">
            <v>1.9844926344890692</v>
          </cell>
          <cell r="H1039">
            <v>1.9845169673326446</v>
          </cell>
          <cell r="I1039">
            <v>1.0955377856395059</v>
          </cell>
        </row>
        <row r="1040">
          <cell r="A1040" t="str">
            <v>RHEM-SHNGAHP</v>
          </cell>
          <cell r="B1040" t="str">
            <v>VAR_fout</v>
          </cell>
          <cell r="C1040" t="str">
            <v>CO2_R</v>
          </cell>
          <cell r="F1040">
            <v>73.872153566123998</v>
          </cell>
          <cell r="G1040">
            <v>203.68549666393901</v>
          </cell>
          <cell r="H1040">
            <v>301.96138591773502</v>
          </cell>
          <cell r="I1040">
            <v>254.23210023129499</v>
          </cell>
        </row>
        <row r="1041">
          <cell r="A1041" t="str">
            <v>RHEM-SHNGAHP</v>
          </cell>
          <cell r="B1041" t="str">
            <v>VAR_fout</v>
          </cell>
          <cell r="C1041" t="str">
            <v>RHEM-SHANGAH</v>
          </cell>
          <cell r="F1041">
            <v>2.4880208015004501</v>
          </cell>
          <cell r="G1041">
            <v>7.0944287007708464</v>
          </cell>
          <cell r="H1041">
            <v>10.761126953947789</v>
          </cell>
          <cell r="I1041">
            <v>9.5392142347323059</v>
          </cell>
        </row>
        <row r="1042">
          <cell r="A1042" t="str">
            <v>RHEM-SHNGAHP</v>
          </cell>
          <cell r="B1042" t="str">
            <v>VAR_fin</v>
          </cell>
          <cell r="C1042" t="str">
            <v>RHEMELCHPC</v>
          </cell>
          <cell r="F1042">
            <v>2.4880208015004501</v>
          </cell>
          <cell r="G1042">
            <v>7.0944287007708464</v>
          </cell>
          <cell r="H1042">
            <v>10.761126953947789</v>
          </cell>
          <cell r="I1042">
            <v>9.5392142347323059</v>
          </cell>
        </row>
        <row r="1043">
          <cell r="A1043" t="str">
            <v>RHEM-SHNGAHP</v>
          </cell>
          <cell r="B1043" t="str">
            <v>VAR_fin</v>
          </cell>
          <cell r="C1043" t="str">
            <v>RNGA</v>
          </cell>
          <cell r="F1043">
            <v>1.3097899568461699</v>
          </cell>
          <cell r="G1043">
            <v>3.6114449763109762</v>
          </cell>
          <cell r="H1043">
            <v>5.3539252822293522</v>
          </cell>
          <cell r="I1043">
            <v>4.5076613516187054</v>
          </cell>
        </row>
        <row r="1044">
          <cell r="A1044" t="str">
            <v>RHEM-SHNGAHP</v>
          </cell>
          <cell r="B1044" t="str">
            <v>VAR_ncap</v>
          </cell>
          <cell r="C1044" t="str">
            <v>-</v>
          </cell>
          <cell r="D1044">
            <v>3.2952674896809002E-7</v>
          </cell>
          <cell r="E1044">
            <v>6.7448248139704504E-7</v>
          </cell>
          <cell r="F1044">
            <v>0.175759823699462</v>
          </cell>
          <cell r="G1044">
            <v>0.32523323936302401</v>
          </cell>
          <cell r="H1044">
            <v>0.38986136582686898</v>
          </cell>
          <cell r="I1044">
            <v>0.34204055924966398</v>
          </cell>
        </row>
        <row r="1045">
          <cell r="A1045" t="str">
            <v>RHEM-SHNGAHP</v>
          </cell>
          <cell r="B1045" t="str">
            <v>VAR_cap</v>
          </cell>
          <cell r="C1045" t="str">
            <v>-</v>
          </cell>
          <cell r="D1045">
            <v>3.2952674896809002E-7</v>
          </cell>
          <cell r="E1045">
            <v>9.8234962846280094E-8</v>
          </cell>
          <cell r="F1045">
            <v>0.17575997819712935</v>
          </cell>
          <cell r="G1045">
            <v>0.50099328290157652</v>
          </cell>
          <cell r="H1045">
            <v>0.76097176089975505</v>
          </cell>
          <cell r="I1045">
            <v>0.67482579280316413</v>
          </cell>
        </row>
        <row r="1046">
          <cell r="A1046" t="str">
            <v>D-SPLT</v>
          </cell>
          <cell r="B1046" t="str">
            <v>VAR_fout</v>
          </cell>
          <cell r="C1046" t="str">
            <v>SPLT</v>
          </cell>
          <cell r="D1046">
            <v>2.0856497062270649</v>
          </cell>
          <cell r="E1046">
            <v>2.4001032503386051</v>
          </cell>
          <cell r="F1046">
            <v>0.57418847339101009</v>
          </cell>
          <cell r="G1046">
            <v>0.72927329760050885</v>
          </cell>
          <cell r="H1046">
            <v>1.0699252584094092</v>
          </cell>
          <cell r="I1046">
            <v>1.0717054638767578</v>
          </cell>
        </row>
        <row r="1047">
          <cell r="A1047" t="str">
            <v>D-SPLT</v>
          </cell>
          <cell r="B1047" t="str">
            <v>VAR_fin</v>
          </cell>
          <cell r="C1047" t="str">
            <v>PLT</v>
          </cell>
          <cell r="D1047">
            <v>2.0856497062270649</v>
          </cell>
          <cell r="E1047">
            <v>2.4001032503386051</v>
          </cell>
          <cell r="F1047">
            <v>0.57418847339101009</v>
          </cell>
          <cell r="G1047">
            <v>0.72927329760050885</v>
          </cell>
          <cell r="H1047">
            <v>1.0699252584094092</v>
          </cell>
          <cell r="I1047">
            <v>1.0717054638767578</v>
          </cell>
        </row>
        <row r="1048">
          <cell r="A1048" t="str">
            <v>RHES-SHCONBR</v>
          </cell>
          <cell r="B1048" t="str">
            <v>VAR_fout</v>
          </cell>
          <cell r="C1048" t="str">
            <v>RHES-SHCON</v>
          </cell>
          <cell r="F1048">
            <v>2.4494573958376412E-4</v>
          </cell>
          <cell r="G1048">
            <v>1.8853934924786085E-4</v>
          </cell>
          <cell r="H1048">
            <v>4.2017116870344515E-4</v>
          </cell>
          <cell r="I1048">
            <v>4.161868555095854E-4</v>
          </cell>
        </row>
        <row r="1049">
          <cell r="A1049" t="str">
            <v>RHES-SHCONBR</v>
          </cell>
          <cell r="B1049" t="str">
            <v>VAR_fin</v>
          </cell>
          <cell r="C1049" t="str">
            <v>CON</v>
          </cell>
          <cell r="F1049">
            <v>2.4494573958376412E-4</v>
          </cell>
          <cell r="G1049">
            <v>1.8853934924786085E-4</v>
          </cell>
          <cell r="H1049">
            <v>4.2017116870344515E-4</v>
          </cell>
          <cell r="I1049">
            <v>4.161868555095854E-4</v>
          </cell>
        </row>
        <row r="1050">
          <cell r="A1050" t="str">
            <v>RHES-SHCONBR</v>
          </cell>
          <cell r="B1050" t="str">
            <v>VAR_ncap</v>
          </cell>
          <cell r="C1050" t="str">
            <v>-</v>
          </cell>
          <cell r="E1050">
            <v>1.04956426351763E-7</v>
          </cell>
          <cell r="F1050">
            <v>6.7078239067276797E-6</v>
          </cell>
          <cell r="G1050">
            <v>2.5575488656451902E-7</v>
          </cell>
          <cell r="H1050">
            <v>1.74125302855552E-6</v>
          </cell>
          <cell r="I1050">
            <v>2.2696158948392899E-6</v>
          </cell>
        </row>
        <row r="1051">
          <cell r="A1051" t="str">
            <v>RHES-SHCONBR</v>
          </cell>
          <cell r="B1051" t="str">
            <v>VAR_cap</v>
          </cell>
          <cell r="C1051" t="str">
            <v>-</v>
          </cell>
          <cell r="E1051">
            <v>1.04956426351763E-7</v>
          </cell>
          <cell r="F1051">
            <v>6.7430617427754055E-6</v>
          </cell>
          <cell r="G1051">
            <v>6.9402965489542724E-6</v>
          </cell>
          <cell r="H1051">
            <v>2.3324855413059457E-5</v>
          </cell>
          <cell r="I1051">
            <v>2.5828265045555816E-5</v>
          </cell>
        </row>
        <row r="1052">
          <cell r="A1052" t="str">
            <v>RHSA-WHSOLBR</v>
          </cell>
          <cell r="B1052" t="str">
            <v>VAR_fout</v>
          </cell>
          <cell r="C1052" t="str">
            <v>RHSA-WHASOL</v>
          </cell>
          <cell r="D1052">
            <v>1.721488024659851</v>
          </cell>
          <cell r="E1052">
            <v>1.986812074667242</v>
          </cell>
          <cell r="F1052">
            <v>0.93117036878641524</v>
          </cell>
          <cell r="G1052">
            <v>1.0613176498335499</v>
          </cell>
          <cell r="H1052">
            <v>1.219518594686827</v>
          </cell>
          <cell r="I1052">
            <v>1.2277373140077195</v>
          </cell>
        </row>
        <row r="1053">
          <cell r="A1053" t="str">
            <v>RHSA-WHSOLBR</v>
          </cell>
          <cell r="B1053" t="str">
            <v>VAR_fin</v>
          </cell>
          <cell r="C1053" t="str">
            <v>SOL</v>
          </cell>
          <cell r="D1053">
            <v>1.721488024659851</v>
          </cell>
          <cell r="E1053">
            <v>1.986812074667242</v>
          </cell>
          <cell r="F1053">
            <v>0.93117036878641524</v>
          </cell>
          <cell r="G1053">
            <v>1.0613176498335499</v>
          </cell>
          <cell r="H1053">
            <v>1.219518594686827</v>
          </cell>
          <cell r="I1053">
            <v>1.2277373140077195</v>
          </cell>
        </row>
        <row r="1054">
          <cell r="A1054" t="str">
            <v>RHSA-WHSOLBR</v>
          </cell>
          <cell r="B1054" t="str">
            <v>VAR_fin</v>
          </cell>
          <cell r="C1054" t="str">
            <v>RHSASOLBRC</v>
          </cell>
          <cell r="D1054">
            <v>1.721488024659851</v>
          </cell>
          <cell r="E1054">
            <v>1.986812074667242</v>
          </cell>
          <cell r="F1054">
            <v>0.93117036878641524</v>
          </cell>
          <cell r="G1054">
            <v>1.0613176498335499</v>
          </cell>
          <cell r="H1054">
            <v>1.219518594686827</v>
          </cell>
          <cell r="I1054">
            <v>1.2277373140077195</v>
          </cell>
        </row>
        <row r="1055">
          <cell r="A1055" t="str">
            <v>RHSA-WHSOLBR</v>
          </cell>
          <cell r="B1055" t="str">
            <v>VAR_ncap</v>
          </cell>
          <cell r="C1055" t="str">
            <v>-</v>
          </cell>
          <cell r="E1055">
            <v>8.2172709769855204E-2</v>
          </cell>
          <cell r="F1055">
            <v>1.88534963170537E-6</v>
          </cell>
          <cell r="G1055">
            <v>5.1543947698709702E-6</v>
          </cell>
          <cell r="H1055">
            <v>0.16895355520708999</v>
          </cell>
          <cell r="I1055">
            <v>8.2190162082905194E-2</v>
          </cell>
        </row>
        <row r="1056">
          <cell r="A1056" t="str">
            <v>RHSA-WHSOLBR</v>
          </cell>
          <cell r="B1056" t="str">
            <v>VAR_cap</v>
          </cell>
          <cell r="C1056" t="str">
            <v>-</v>
          </cell>
          <cell r="D1056">
            <v>0.25000991745774798</v>
          </cell>
          <cell r="E1056">
            <v>0.33218225481723457</v>
          </cell>
          <cell r="F1056">
            <v>0.33217953677026096</v>
          </cell>
          <cell r="G1056">
            <v>0.33218516517289576</v>
          </cell>
          <cell r="H1056">
            <v>0.31435412920162131</v>
          </cell>
          <cell r="I1056">
            <v>0.2663073288041094</v>
          </cell>
        </row>
        <row r="1057">
          <cell r="A1057" t="str">
            <v>SCOM-SHCONBR</v>
          </cell>
          <cell r="B1057" t="str">
            <v>VAR_ncap</v>
          </cell>
          <cell r="C1057" t="str">
            <v>-</v>
          </cell>
          <cell r="D1057">
            <v>5.79737637009222E-8</v>
          </cell>
          <cell r="E1057">
            <v>5.9297627908391302E-8</v>
          </cell>
          <cell r="F1057">
            <v>5.5159966319082097E-8</v>
          </cell>
          <cell r="G1057">
            <v>5.4227611900365701E-8</v>
          </cell>
          <cell r="H1057">
            <v>4.0915122404034002E-7</v>
          </cell>
          <cell r="I1057">
            <v>5.9661364449775402E-7</v>
          </cell>
        </row>
        <row r="1058">
          <cell r="A1058" t="str">
            <v>SCOM-SHCONBR</v>
          </cell>
          <cell r="B1058" t="str">
            <v>VAR_cap</v>
          </cell>
          <cell r="C1058" t="str">
            <v>-</v>
          </cell>
          <cell r="D1058">
            <v>5.79737637009222E-8</v>
          </cell>
          <cell r="E1058">
            <v>5.6555534446512502E-8</v>
          </cell>
          <cell r="F1058">
            <v>5.4888778275588004E-8</v>
          </cell>
          <cell r="G1058">
            <v>5.0405592724053012E-8</v>
          </cell>
          <cell r="H1058">
            <v>1.9968025343524133E-6</v>
          </cell>
          <cell r="I1058">
            <v>2.764488702306594E-6</v>
          </cell>
        </row>
        <row r="1059">
          <cell r="A1059" t="str">
            <v>RHNM-SHNGABR</v>
          </cell>
          <cell r="B1059" t="str">
            <v>VAR_fout</v>
          </cell>
          <cell r="C1059" t="str">
            <v>CO2_R</v>
          </cell>
          <cell r="E1059">
            <v>43.099863520156497</v>
          </cell>
          <cell r="F1059">
            <v>6.3800075153983897</v>
          </cell>
          <cell r="G1059">
            <v>8.0285415395856194</v>
          </cell>
          <cell r="H1059">
            <v>4.6450738287443398</v>
          </cell>
        </row>
        <row r="1060">
          <cell r="A1060" t="str">
            <v>RHNM-SHNGABR</v>
          </cell>
          <cell r="B1060" t="str">
            <v>VAR_fout</v>
          </cell>
          <cell r="C1060" t="str">
            <v>RHNM-SHNGA</v>
          </cell>
          <cell r="E1060">
            <v>0.72597287844235237</v>
          </cell>
          <cell r="F1060">
            <v>0.10858147523824564</v>
          </cell>
          <cell r="G1060">
            <v>0.13663790869771505</v>
          </cell>
          <cell r="H1060">
            <v>7.9054604198868533E-2</v>
          </cell>
        </row>
        <row r="1061">
          <cell r="A1061" t="str">
            <v>RHNM-SHNGABR</v>
          </cell>
          <cell r="B1061" t="str">
            <v>VAR_fin</v>
          </cell>
          <cell r="C1061" t="str">
            <v>RNGA</v>
          </cell>
          <cell r="E1061">
            <v>0.76418197730773962</v>
          </cell>
          <cell r="F1061">
            <v>0.11312070062763091</v>
          </cell>
          <cell r="G1061">
            <v>0.14235002729761723</v>
          </cell>
          <cell r="H1061">
            <v>8.2359465048658584E-2</v>
          </cell>
        </row>
        <row r="1062">
          <cell r="A1062" t="str">
            <v>RHNM-SHNGABR</v>
          </cell>
          <cell r="B1062" t="str">
            <v>VAR_ncap</v>
          </cell>
          <cell r="C1062" t="str">
            <v>-</v>
          </cell>
          <cell r="E1062">
            <v>5.6457726888109898E-2</v>
          </cell>
          <cell r="F1062">
            <v>2.6088702481163999E-6</v>
          </cell>
          <cell r="G1062">
            <v>4.5121792672016396E-6</v>
          </cell>
          <cell r="H1062">
            <v>6.2358757458518804E-3</v>
          </cell>
          <cell r="I1062">
            <v>8.8361014289282402E-7</v>
          </cell>
        </row>
        <row r="1063">
          <cell r="A1063" t="str">
            <v>RHNM-SHNGABR</v>
          </cell>
          <cell r="B1063" t="str">
            <v>VAR_cap</v>
          </cell>
          <cell r="C1063" t="str">
            <v>-</v>
          </cell>
          <cell r="E1063">
            <v>5.6457726888109898E-2</v>
          </cell>
          <cell r="F1063">
            <v>3.1276700499203697E-2</v>
          </cell>
          <cell r="G1063">
            <v>3.0807598584779498E-2</v>
          </cell>
          <cell r="H1063">
            <v>6.3563551606871408E-3</v>
          </cell>
          <cell r="I1063">
            <v>3.5749942191039448E-5</v>
          </cell>
        </row>
        <row r="1064">
          <cell r="A1064" t="str">
            <v>RHES-SHSOLBR</v>
          </cell>
          <cell r="B1064" t="str">
            <v>VAR_fout</v>
          </cell>
          <cell r="C1064" t="str">
            <v>RHES-SHASOL</v>
          </cell>
          <cell r="D1064">
            <v>0.37732610756439694</v>
          </cell>
          <cell r="E1064">
            <v>0.43550751814542277</v>
          </cell>
          <cell r="F1064">
            <v>2.1758527639462743E-2</v>
          </cell>
          <cell r="G1064">
            <v>2.3029427396089916E-2</v>
          </cell>
          <cell r="H1064">
            <v>2.2000898763467003E-2</v>
          </cell>
          <cell r="I1064">
            <v>1.9972293364304745E-2</v>
          </cell>
        </row>
        <row r="1065">
          <cell r="A1065" t="str">
            <v>RHES-SHSOLBR</v>
          </cell>
          <cell r="B1065" t="str">
            <v>VAR_fin</v>
          </cell>
          <cell r="C1065" t="str">
            <v>SOL</v>
          </cell>
          <cell r="D1065">
            <v>0.37732610756439694</v>
          </cell>
          <cell r="E1065">
            <v>0.43550751814542277</v>
          </cell>
          <cell r="F1065">
            <v>2.1758527639462743E-2</v>
          </cell>
          <cell r="G1065">
            <v>2.3029427396089916E-2</v>
          </cell>
          <cell r="H1065">
            <v>2.2000898763467003E-2</v>
          </cell>
          <cell r="I1065">
            <v>1.9972293364304745E-2</v>
          </cell>
        </row>
        <row r="1066">
          <cell r="A1066" t="str">
            <v>RHES-SHSOLBR</v>
          </cell>
          <cell r="B1066" t="str">
            <v>VAR_ncap</v>
          </cell>
          <cell r="C1066" t="str">
            <v>-</v>
          </cell>
          <cell r="E1066">
            <v>8.46685825937127E-3</v>
          </cell>
          <cell r="F1066">
            <v>6.87232834110942E-7</v>
          </cell>
          <cell r="G1066">
            <v>1.4215539701124999E-6</v>
          </cell>
          <cell r="H1066">
            <v>3.3483418183388501E-3</v>
          </cell>
          <cell r="I1066">
            <v>5.6413365618969099E-4</v>
          </cell>
        </row>
        <row r="1067">
          <cell r="A1067" t="str">
            <v>RHES-SHSOLBR</v>
          </cell>
          <cell r="B1067" t="str">
            <v>VAR_cap</v>
          </cell>
          <cell r="C1067" t="str">
            <v>-</v>
          </cell>
          <cell r="D1067">
            <v>5.4798678617278197E-2</v>
          </cell>
          <cell r="E1067">
            <v>6.3265373711882594E-2</v>
          </cell>
          <cell r="F1067">
            <v>6.3260887557914827E-2</v>
          </cell>
          <cell r="G1067">
            <v>6.3259468545154948E-2</v>
          </cell>
          <cell r="H1067">
            <v>3.3530068016248602E-3</v>
          </cell>
          <cell r="I1067">
            <v>2.9956014140960041E-3</v>
          </cell>
        </row>
        <row r="1068">
          <cell r="A1068" t="str">
            <v>SCOM-SHSOLBR</v>
          </cell>
          <cell r="B1068" t="str">
            <v>VAR_fout</v>
          </cell>
          <cell r="C1068" t="str">
            <v>SCOM-SHASOL</v>
          </cell>
          <cell r="D1068">
            <v>0.62702142448565756</v>
          </cell>
          <cell r="E1068">
            <v>0.68738203090990213</v>
          </cell>
          <cell r="F1068">
            <v>0.56048958062033727</v>
          </cell>
          <cell r="G1068">
            <v>0.61454900556605341</v>
          </cell>
          <cell r="H1068">
            <v>0.75049685737993987</v>
          </cell>
          <cell r="I1068">
            <v>0.79614448561164552</v>
          </cell>
        </row>
        <row r="1069">
          <cell r="A1069" t="str">
            <v>SCOM-SHSOLBR</v>
          </cell>
          <cell r="B1069" t="str">
            <v>VAR_fin</v>
          </cell>
          <cell r="C1069" t="str">
            <v>SOL</v>
          </cell>
          <cell r="D1069">
            <v>0.62702142448565756</v>
          </cell>
          <cell r="E1069">
            <v>0.68738203090990213</v>
          </cell>
          <cell r="F1069">
            <v>0.56048958062033727</v>
          </cell>
          <cell r="G1069">
            <v>0.61454900556605341</v>
          </cell>
          <cell r="H1069">
            <v>0.75049685737993987</v>
          </cell>
          <cell r="I1069">
            <v>0.79614448561164552</v>
          </cell>
        </row>
        <row r="1070">
          <cell r="A1070" t="str">
            <v>SCOM-SHSOLBR</v>
          </cell>
          <cell r="B1070" t="str">
            <v>VAR_ncap</v>
          </cell>
          <cell r="C1070" t="str">
            <v>-</v>
          </cell>
          <cell r="D1070">
            <v>5.4177549182276098E-5</v>
          </cell>
          <cell r="E1070">
            <v>8.7665928302545094E-3</v>
          </cell>
          <cell r="F1070">
            <v>2.2954522569471699E-6</v>
          </cell>
          <cell r="G1070">
            <v>5.7309838312585697E-6</v>
          </cell>
          <cell r="H1070">
            <v>4.5450031438320798E-2</v>
          </cell>
          <cell r="I1070">
            <v>6.0801890059380803E-2</v>
          </cell>
        </row>
        <row r="1071">
          <cell r="A1071" t="str">
            <v>SCOM-SHSOLBR</v>
          </cell>
          <cell r="B1071" t="str">
            <v>VAR_cap</v>
          </cell>
          <cell r="C1071" t="str">
            <v>-</v>
          </cell>
          <cell r="D1071">
            <v>9.1111771025261773E-2</v>
          </cell>
          <cell r="E1071">
            <v>9.9878065600121121E-2</v>
          </cell>
          <cell r="F1071">
            <v>9.987500757049933E-2</v>
          </cell>
          <cell r="G1071">
            <v>9.9879330300138791E-2</v>
          </cell>
          <cell r="H1071">
            <v>0.11425126499302526</v>
          </cell>
          <cell r="I1071">
            <v>0.12288706003414582</v>
          </cell>
        </row>
        <row r="1072">
          <cell r="A1072" t="str">
            <v>RHEM-SHSTG-ELCHP</v>
          </cell>
          <cell r="B1072" t="str">
            <v>VAR_fout</v>
          </cell>
          <cell r="C1072" t="str">
            <v>RHEM-SHAELCH</v>
          </cell>
          <cell r="D1072">
            <v>5.2536024075183782E-6</v>
          </cell>
          <cell r="E1072">
            <v>8.1546666633300277E-6</v>
          </cell>
          <cell r="F1072">
            <v>0.84437167273492786</v>
          </cell>
          <cell r="G1072">
            <v>1.7587346226303582</v>
          </cell>
          <cell r="H1072">
            <v>1.5475650290580898</v>
          </cell>
          <cell r="I1072">
            <v>1.5943629423856251</v>
          </cell>
        </row>
        <row r="1073">
          <cell r="A1073" t="str">
            <v>RHEM-SHSTG-ELCHP</v>
          </cell>
          <cell r="B1073" t="str">
            <v>VAR_fin</v>
          </cell>
          <cell r="C1073" t="str">
            <v>RHEM-SHAELCH</v>
          </cell>
          <cell r="D1073">
            <v>8.1126319892019201E-5</v>
          </cell>
          <cell r="E1073">
            <v>5.4217613472067321E-5</v>
          </cell>
          <cell r="F1073">
            <v>0.844400844055195</v>
          </cell>
          <cell r="G1073">
            <v>1.7587985890517965</v>
          </cell>
          <cell r="H1073">
            <v>1.5476447007280185</v>
          </cell>
          <cell r="I1073">
            <v>1.5944425589528215</v>
          </cell>
        </row>
        <row r="1074">
          <cell r="A1074" t="str">
            <v>RHEM-SHSTG-ELCHP</v>
          </cell>
          <cell r="B1074" t="str">
            <v>VAR_ncap</v>
          </cell>
          <cell r="C1074" t="str">
            <v>-</v>
          </cell>
          <cell r="D1074">
            <v>2.5648822287933901E-2</v>
          </cell>
          <cell r="E1074">
            <v>0.16811655896331601</v>
          </cell>
          <cell r="F1074">
            <v>1.73105373482657E-4</v>
          </cell>
          <cell r="G1074">
            <v>5.1582557522877999E-2</v>
          </cell>
          <cell r="H1074">
            <v>0.17140871816581199</v>
          </cell>
          <cell r="I1074">
            <v>0.16702556316328099</v>
          </cell>
        </row>
        <row r="1075">
          <cell r="A1075" t="str">
            <v>RHEM-SHSTG-ELCHP</v>
          </cell>
          <cell r="B1075" t="str">
            <v>VAR_cap</v>
          </cell>
          <cell r="C1075" t="str">
            <v>-</v>
          </cell>
          <cell r="D1075">
            <v>2.5648822287933901E-2</v>
          </cell>
          <cell r="E1075">
            <v>0.19365045455822832</v>
          </cell>
          <cell r="F1075">
            <v>0.19365288895132909</v>
          </cell>
          <cell r="G1075">
            <v>0.24517189056685251</v>
          </cell>
          <cell r="H1075">
            <v>0.35747545675059023</v>
          </cell>
          <cell r="I1075">
            <v>0.35511904001951972</v>
          </cell>
        </row>
        <row r="1076">
          <cell r="A1076" t="str">
            <v>ITOT-SWHELCBR</v>
          </cell>
          <cell r="B1076" t="str">
            <v>VAR_fout</v>
          </cell>
          <cell r="C1076" t="str">
            <v>ITOT-SWHAELC</v>
          </cell>
          <cell r="D1076">
            <v>9.8139615802201821</v>
          </cell>
          <cell r="E1076">
            <v>10.335100451801139</v>
          </cell>
          <cell r="F1076">
            <v>14.912016569247035</v>
          </cell>
          <cell r="G1076">
            <v>14.912331128005246</v>
          </cell>
          <cell r="H1076">
            <v>14.912327594154915</v>
          </cell>
          <cell r="I1076">
            <v>14.912315861360817</v>
          </cell>
        </row>
        <row r="1077">
          <cell r="A1077" t="str">
            <v>ITOT-SWHELCBR</v>
          </cell>
          <cell r="B1077" t="str">
            <v>VAR_fin</v>
          </cell>
          <cell r="C1077" t="str">
            <v>ITOT_ELC</v>
          </cell>
          <cell r="D1077">
            <v>11.64702334854427</v>
          </cell>
          <cell r="E1077">
            <v>12.258998716051902</v>
          </cell>
          <cell r="F1077">
            <v>17.673862059071176</v>
          </cell>
          <cell r="G1077">
            <v>17.650860177425709</v>
          </cell>
          <cell r="H1077">
            <v>17.604291599450359</v>
          </cell>
          <cell r="I1077">
            <v>17.557958424850007</v>
          </cell>
        </row>
        <row r="1078">
          <cell r="A1078" t="str">
            <v>ITOT-SWHELCBR</v>
          </cell>
          <cell r="B1078" t="str">
            <v>VAR_ncap</v>
          </cell>
          <cell r="C1078" t="str">
            <v>-</v>
          </cell>
          <cell r="E1078">
            <v>0.16552810901418299</v>
          </cell>
          <cell r="F1078">
            <v>0.24359753514874699</v>
          </cell>
          <cell r="G1078">
            <v>0.190250854683258</v>
          </cell>
          <cell r="H1078">
            <v>0.81057119841824998</v>
          </cell>
          <cell r="I1078">
            <v>0.51370194005935899</v>
          </cell>
        </row>
        <row r="1079">
          <cell r="A1079" t="str">
            <v>ITOT-SWHELCBR</v>
          </cell>
          <cell r="B1079" t="str">
            <v>VAR_cap</v>
          </cell>
          <cell r="C1079" t="str">
            <v>-</v>
          </cell>
          <cell r="D1079">
            <v>0.55644997413134401</v>
          </cell>
          <cell r="E1079">
            <v>0.72196316767278179</v>
          </cell>
          <cell r="F1079">
            <v>0.96553288220873301</v>
          </cell>
          <cell r="G1079">
            <v>1.1557187865428842</v>
          </cell>
          <cell r="H1079">
            <v>1.5084774307490794</v>
          </cell>
          <cell r="I1079">
            <v>1.3239631697017544</v>
          </cell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I4">
            <v>654.19287245644443</v>
          </cell>
          <cell r="J4">
            <v>1690.8374607233084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I5">
            <v>600.30032425437321</v>
          </cell>
          <cell r="J5">
            <v>1012.8299453807772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I6">
            <v>52.819536127988322</v>
          </cell>
          <cell r="J6">
            <v>39.234334354510537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I7">
            <v>1.0730120740838156</v>
          </cell>
          <cell r="J7">
            <v>638.77318098802152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523.81516403877868</v>
          </cell>
          <cell r="I8">
            <v>-98.345953340556747</v>
          </cell>
          <cell r="J8">
            <v>-47.107879564859502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I9">
            <v>409.81851181502969</v>
          </cell>
          <cell r="J9">
            <v>1256.8832126586501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I10">
            <v>457.14721359849261</v>
          </cell>
          <cell r="J10">
            <v>1199.2533591833051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I11">
            <v>57.601743510014785</v>
          </cell>
          <cell r="J11">
            <v>787.80222442780973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I12">
            <v>0.38359868620345894</v>
          </cell>
          <cell r="J12">
            <v>37.963920650355391</v>
          </cell>
        </row>
        <row r="13">
          <cell r="B13" t="str">
            <v>CO2_O</v>
          </cell>
          <cell r="C13" t="str">
            <v>VAR_fout</v>
          </cell>
          <cell r="D13" t="str">
            <v>SUP_WSTHTGBIOCCS</v>
          </cell>
          <cell r="I13">
            <v>2.0066568622909512E-2</v>
          </cell>
          <cell r="J13">
            <v>0.61559538156611837</v>
          </cell>
        </row>
        <row r="14">
          <cell r="B14" t="str">
            <v>CO2_O</v>
          </cell>
          <cell r="C14" t="str">
            <v>VAR_fout</v>
          </cell>
          <cell r="D14" t="str">
            <v>ITOT-CHPWODCCS</v>
          </cell>
          <cell r="I14">
            <v>561.61352754328641</v>
          </cell>
          <cell r="J14">
            <v>1178.3881778281368</v>
          </cell>
        </row>
        <row r="15">
          <cell r="B15" t="str">
            <v>CO2_O</v>
          </cell>
          <cell r="C15" t="str">
            <v>VAR_fout</v>
          </cell>
          <cell r="D15" t="str">
            <v>EWOD-CCS</v>
          </cell>
          <cell r="I15">
            <v>0.42488956825792173</v>
          </cell>
          <cell r="J15">
            <v>196.83304761788236</v>
          </cell>
        </row>
        <row r="16">
          <cell r="B16" t="str">
            <v>CO2_O</v>
          </cell>
          <cell r="C16" t="str">
            <v>VAR_fout</v>
          </cell>
          <cell r="D16" t="str">
            <v>ITOT-PROCESSCO2CCS</v>
          </cell>
          <cell r="I16">
            <v>0.10726296986643172</v>
          </cell>
          <cell r="J16">
            <v>1031.917409386763</v>
          </cell>
        </row>
        <row r="17">
          <cell r="B17" t="str">
            <v>CO2_O</v>
          </cell>
          <cell r="C17" t="str">
            <v>VAR_fout</v>
          </cell>
          <cell r="D17" t="str">
            <v>SUP_WODH2CCS</v>
          </cell>
          <cell r="J17">
            <v>971.30658976876987</v>
          </cell>
        </row>
        <row r="18">
          <cell r="B18" t="str">
            <v>CO2_O</v>
          </cell>
          <cell r="C18" t="str">
            <v>VAR_fout</v>
          </cell>
          <cell r="D18" t="str">
            <v>SUP_WODBIOCCS</v>
          </cell>
          <cell r="I18">
            <v>0.10217851590269025</v>
          </cell>
          <cell r="J18">
            <v>97.723808950709383</v>
          </cell>
        </row>
        <row r="19">
          <cell r="B19" t="str">
            <v>CO2_O</v>
          </cell>
          <cell r="C19" t="str">
            <v>VAR_fout</v>
          </cell>
          <cell r="D19" t="str">
            <v>SUP_NGAH2CCS</v>
          </cell>
          <cell r="J19">
            <v>4.6584237815019254E-2</v>
          </cell>
        </row>
        <row r="20">
          <cell r="B20" t="str">
            <v>CO2_O</v>
          </cell>
          <cell r="C20" t="str">
            <v>VAR_fout</v>
          </cell>
          <cell r="D20" t="str">
            <v>CT_CWODETHCCS</v>
          </cell>
          <cell r="I20">
            <v>6.4087003678660716E-3</v>
          </cell>
          <cell r="J20">
            <v>0.41147601375563914</v>
          </cell>
        </row>
        <row r="21">
          <cell r="B21" t="str">
            <v>CO2_O</v>
          </cell>
          <cell r="C21" t="str">
            <v>VAR_fout</v>
          </cell>
          <cell r="D21" t="str">
            <v>SUP_DAC</v>
          </cell>
          <cell r="I21">
            <v>1.4962731328082563E-2</v>
          </cell>
          <cell r="J21">
            <v>30.911494579844426</v>
          </cell>
        </row>
        <row r="22">
          <cell r="B22" t="str">
            <v>CO2_O</v>
          </cell>
          <cell r="C22" t="str">
            <v>VAR_fout</v>
          </cell>
          <cell r="D22" t="str">
            <v>CT_CWODBDSCCS</v>
          </cell>
          <cell r="I22">
            <v>0.37097351472682871</v>
          </cell>
          <cell r="J22">
            <v>604.36841083161164</v>
          </cell>
        </row>
        <row r="23">
          <cell r="B23" t="str">
            <v>CO2_O</v>
          </cell>
          <cell r="C23" t="str">
            <v>VAR_fin</v>
          </cell>
          <cell r="D23" t="str">
            <v>D-CO2_O</v>
          </cell>
          <cell r="I23">
            <v>1487.540465759173</v>
          </cell>
          <cell r="J23">
            <v>7394.3296745435091</v>
          </cell>
        </row>
        <row r="24">
          <cell r="B24" t="str">
            <v>CO2_O</v>
          </cell>
          <cell r="C24" t="str">
            <v>EQ_combalM</v>
          </cell>
          <cell r="D24" t="str">
            <v>-</v>
          </cell>
          <cell r="H24">
            <v>523.81516403877868</v>
          </cell>
          <cell r="I24">
            <v>-98.968319725445753</v>
          </cell>
          <cell r="J24">
            <v>-47.894846047529199</v>
          </cell>
        </row>
        <row r="25">
          <cell r="B25" t="str">
            <v>CO2_Q</v>
          </cell>
          <cell r="C25" t="str">
            <v>VAR_fout</v>
          </cell>
          <cell r="D25" t="str">
            <v>D-CO2_O</v>
          </cell>
          <cell r="I25">
            <v>833.34759330272709</v>
          </cell>
          <cell r="J25">
            <v>3461.5439803128425</v>
          </cell>
        </row>
        <row r="26">
          <cell r="B26" t="str">
            <v>CO2_Q</v>
          </cell>
          <cell r="C26" t="str">
            <v>VAR_fin</v>
          </cell>
          <cell r="D26" t="str">
            <v>CO2SINK</v>
          </cell>
          <cell r="I26">
            <v>833.34759330272709</v>
          </cell>
          <cell r="J26">
            <v>3461.5439803128425</v>
          </cell>
        </row>
        <row r="27">
          <cell r="B27" t="str">
            <v>CO2_Q</v>
          </cell>
          <cell r="C27" t="str">
            <v>EQ_combalM</v>
          </cell>
          <cell r="D27" t="str">
            <v>-</v>
          </cell>
          <cell r="I27">
            <v>-98.345953340556747</v>
          </cell>
          <cell r="J27">
            <v>-47.107879564859502</v>
          </cell>
        </row>
        <row r="28">
          <cell r="B28" t="str">
            <v>CO2_R</v>
          </cell>
          <cell r="C28" t="str">
            <v>VAR_fout</v>
          </cell>
          <cell r="D28" t="str">
            <v>RHNM-SHLFOBR</v>
          </cell>
          <cell r="F28">
            <v>5.1450918827925804E-3</v>
          </cell>
          <cell r="G28">
            <v>4.7800345338436001</v>
          </cell>
          <cell r="H28">
            <v>7.2633879456255102</v>
          </cell>
          <cell r="I28">
            <v>4.9965591850663396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5.5731231453390198</v>
          </cell>
          <cell r="H29">
            <v>17.751624709019499</v>
          </cell>
          <cell r="I29">
            <v>28.911332392441299</v>
          </cell>
          <cell r="J29">
            <v>32.684935328625102</v>
          </cell>
        </row>
        <row r="30">
          <cell r="B30" t="str">
            <v>CO2_R</v>
          </cell>
          <cell r="C30" t="str">
            <v>VAR_fout</v>
          </cell>
          <cell r="D30" t="str">
            <v>RHES-CHPNGA</v>
          </cell>
          <cell r="E30">
            <v>6.4053904715152399</v>
          </cell>
          <cell r="F30">
            <v>0.84892028651819196</v>
          </cell>
          <cell r="G30">
            <v>2.3418557673237599</v>
          </cell>
          <cell r="H30">
            <v>0.56607762762380298</v>
          </cell>
          <cell r="I30">
            <v>0.38492998188204097</v>
          </cell>
        </row>
        <row r="31">
          <cell r="B31" t="str">
            <v>CO2_R</v>
          </cell>
          <cell r="C31" t="str">
            <v>VAR_fout</v>
          </cell>
          <cell r="D31" t="str">
            <v>RHEM-SHNGABR</v>
          </cell>
          <cell r="E31">
            <v>1127.9644142166501</v>
          </cell>
          <cell r="F31">
            <v>1118.4013944087601</v>
          </cell>
          <cell r="G31">
            <v>1270.48728493208</v>
          </cell>
          <cell r="H31">
            <v>915.97642063796002</v>
          </cell>
          <cell r="I31">
            <v>242.94900851278899</v>
          </cell>
          <cell r="J31">
            <v>97.949820193129696</v>
          </cell>
        </row>
        <row r="32">
          <cell r="B32" t="str">
            <v>CO2_R</v>
          </cell>
          <cell r="C32" t="str">
            <v>VAR_fout</v>
          </cell>
          <cell r="D32" t="str">
            <v>RHSA-WHNGAHP</v>
          </cell>
          <cell r="G32">
            <v>30.808792011821001</v>
          </cell>
          <cell r="H32">
            <v>81.931573356539204</v>
          </cell>
          <cell r="I32">
            <v>134.631433373829</v>
          </cell>
          <cell r="J32">
            <v>124.362936314892</v>
          </cell>
        </row>
        <row r="33">
          <cell r="B33" t="str">
            <v>CO2_R</v>
          </cell>
          <cell r="C33" t="str">
            <v>VAR_fout</v>
          </cell>
          <cell r="D33" t="str">
            <v>RHEM-SHLFOBR</v>
          </cell>
          <cell r="E33">
            <v>1928.7141236358</v>
          </cell>
          <cell r="F33">
            <v>1542.4498722947301</v>
          </cell>
          <cell r="G33">
            <v>1691.2179841439599</v>
          </cell>
          <cell r="H33">
            <v>864.76190964561101</v>
          </cell>
          <cell r="I33">
            <v>207.64246799206799</v>
          </cell>
          <cell r="J33">
            <v>20.170778241626799</v>
          </cell>
        </row>
        <row r="34">
          <cell r="B34" t="str">
            <v>CO2_R</v>
          </cell>
          <cell r="C34" t="str">
            <v>VAR_fout</v>
          </cell>
          <cell r="D34" t="str">
            <v>RHES-SHNGAHP</v>
          </cell>
          <cell r="G34">
            <v>71.162155568207993</v>
          </cell>
          <cell r="H34">
            <v>166.909837071449</v>
          </cell>
          <cell r="I34">
            <v>227.199014778882</v>
          </cell>
          <cell r="J34">
            <v>197.677690080638</v>
          </cell>
        </row>
        <row r="35">
          <cell r="B35" t="str">
            <v>CO2_R</v>
          </cell>
          <cell r="C35" t="str">
            <v>VAR_fout</v>
          </cell>
          <cell r="D35" t="str">
            <v>RHNS-SHNGABR</v>
          </cell>
          <cell r="F35">
            <v>6.06530710670802</v>
          </cell>
          <cell r="G35">
            <v>2.2924248119113901</v>
          </cell>
          <cell r="H35">
            <v>3.4414861998638901</v>
          </cell>
          <cell r="I35">
            <v>3.0214348166618898</v>
          </cell>
          <cell r="J35">
            <v>1.30792136317307</v>
          </cell>
        </row>
        <row r="36">
          <cell r="B36" t="str">
            <v>CO2_R</v>
          </cell>
          <cell r="C36" t="str">
            <v>VAR_fout</v>
          </cell>
          <cell r="D36" t="str">
            <v>RHNS-SHLFOBR</v>
          </cell>
          <cell r="F36">
            <v>1.5553487961414999E-2</v>
          </cell>
          <cell r="G36">
            <v>1.5789221543301699</v>
          </cell>
          <cell r="H36">
            <v>3.5344780688485802</v>
          </cell>
          <cell r="I36">
            <v>3.0600381266492001</v>
          </cell>
        </row>
        <row r="37">
          <cell r="B37" t="str">
            <v>CO2_R</v>
          </cell>
          <cell r="C37" t="str">
            <v>VAR_fout</v>
          </cell>
          <cell r="D37" t="str">
            <v>RHNM-CHPNGA</v>
          </cell>
          <cell r="F37">
            <v>0.472733010963727</v>
          </cell>
          <cell r="G37">
            <v>2.1572321686554399</v>
          </cell>
          <cell r="H37">
            <v>0.48709812930097401</v>
          </cell>
          <cell r="I37">
            <v>0.94146179142819697</v>
          </cell>
        </row>
        <row r="38">
          <cell r="B38" t="str">
            <v>CO2_R</v>
          </cell>
          <cell r="C38" t="str">
            <v>VAR_fout</v>
          </cell>
          <cell r="D38" t="str">
            <v>RHNM-SHNGAHP</v>
          </cell>
          <cell r="G38">
            <v>7.8815231510654096</v>
          </cell>
          <cell r="H38">
            <v>21.015461526350201</v>
          </cell>
          <cell r="I38">
            <v>35.778332976241202</v>
          </cell>
          <cell r="J38">
            <v>40.8137615544547</v>
          </cell>
        </row>
        <row r="39">
          <cell r="B39" t="str">
            <v>CO2_R</v>
          </cell>
          <cell r="C39" t="str">
            <v>VAR_fout</v>
          </cell>
          <cell r="D39" t="str">
            <v>RHES-SHNGABR</v>
          </cell>
          <cell r="E39">
            <v>1043.1363976677501</v>
          </cell>
          <cell r="F39">
            <v>1158.14794554222</v>
          </cell>
          <cell r="G39">
            <v>646.38286861499398</v>
          </cell>
          <cell r="H39">
            <v>454.27869629031198</v>
          </cell>
          <cell r="I39">
            <v>144.15108353083701</v>
          </cell>
          <cell r="J39">
            <v>59.735495760179703</v>
          </cell>
        </row>
        <row r="40">
          <cell r="B40" t="str">
            <v>CO2_R</v>
          </cell>
          <cell r="C40" t="str">
            <v>VAR_fout</v>
          </cell>
          <cell r="D40" t="str">
            <v>RHSA-WHNGABR</v>
          </cell>
          <cell r="E40">
            <v>479.81182073056698</v>
          </cell>
          <cell r="F40">
            <v>394.85278207918299</v>
          </cell>
          <cell r="G40">
            <v>556.972252756643</v>
          </cell>
          <cell r="H40">
            <v>349.995200110827</v>
          </cell>
          <cell r="I40">
            <v>147.81655900264701</v>
          </cell>
          <cell r="J40">
            <v>69.442010370702505</v>
          </cell>
        </row>
        <row r="41">
          <cell r="B41" t="str">
            <v>CO2_R</v>
          </cell>
          <cell r="C41" t="str">
            <v>VAR_fout</v>
          </cell>
          <cell r="D41" t="str">
            <v>RHSA-WHLFOBR</v>
          </cell>
          <cell r="E41">
            <v>726.71493990875695</v>
          </cell>
          <cell r="F41">
            <v>598.85293486688295</v>
          </cell>
          <cell r="G41">
            <v>649.70086430768799</v>
          </cell>
          <cell r="H41">
            <v>284.87858599592801</v>
          </cell>
          <cell r="I41">
            <v>95.9335077976598</v>
          </cell>
          <cell r="J41">
            <v>8.9563761361649004</v>
          </cell>
        </row>
        <row r="42">
          <cell r="B42" t="str">
            <v>CO2_R</v>
          </cell>
          <cell r="C42" t="str">
            <v>VAR_fout</v>
          </cell>
          <cell r="D42" t="str">
            <v>RHES-SHLFOBR</v>
          </cell>
          <cell r="E42">
            <v>1783.66631956591</v>
          </cell>
          <cell r="F42">
            <v>1640.9706511925001</v>
          </cell>
          <cell r="G42">
            <v>1214.0260383325201</v>
          </cell>
          <cell r="H42">
            <v>574.08918219058205</v>
          </cell>
          <cell r="I42">
            <v>105.90475642691599</v>
          </cell>
          <cell r="J42">
            <v>6.6070017918389397</v>
          </cell>
        </row>
        <row r="43">
          <cell r="B43" t="str">
            <v>CO2_R</v>
          </cell>
          <cell r="C43" t="str">
            <v>VAR_fout</v>
          </cell>
          <cell r="D43" t="str">
            <v>RHNS-CHPNGA</v>
          </cell>
          <cell r="F43">
            <v>0.25544912995372898</v>
          </cell>
          <cell r="G43">
            <v>1.17995199008553</v>
          </cell>
          <cell r="H43">
            <v>0.40228407332840799</v>
          </cell>
          <cell r="I43">
            <v>0.417934238907332</v>
          </cell>
        </row>
        <row r="44">
          <cell r="B44" t="str">
            <v>CO2_R</v>
          </cell>
          <cell r="C44" t="str">
            <v>VAR_fout</v>
          </cell>
          <cell r="D44" t="str">
            <v>RHEM-CHPNGA</v>
          </cell>
          <cell r="E44">
            <v>8.2160917387975605</v>
          </cell>
          <cell r="F44">
            <v>1.0256724441578899</v>
          </cell>
          <cell r="G44">
            <v>3.3253314845060902</v>
          </cell>
          <cell r="H44">
            <v>1.01988947982891</v>
          </cell>
          <cell r="I44">
            <v>1.4009223594331801</v>
          </cell>
        </row>
        <row r="45">
          <cell r="B45" t="str">
            <v>CO2_R</v>
          </cell>
          <cell r="C45" t="str">
            <v>VAR_fout</v>
          </cell>
          <cell r="D45" t="str">
            <v>RHES-SHCOABR</v>
          </cell>
          <cell r="E45">
            <v>9.2714494253999096</v>
          </cell>
          <cell r="F45">
            <v>9.2706171258528407</v>
          </cell>
          <cell r="G45">
            <v>2.4989238761534498</v>
          </cell>
          <cell r="H45">
            <v>2.11682684606645E-2</v>
          </cell>
        </row>
        <row r="46">
          <cell r="B46" t="str">
            <v>CO2_R</v>
          </cell>
          <cell r="C46" t="str">
            <v>VAR_fout</v>
          </cell>
          <cell r="D46" t="str">
            <v>RHEM-SHNGAHP</v>
          </cell>
          <cell r="G46">
            <v>73.872153566123998</v>
          </cell>
          <cell r="H46">
            <v>203.68549666393901</v>
          </cell>
          <cell r="I46">
            <v>301.96138591773502</v>
          </cell>
          <cell r="J46">
            <v>254.23210023129499</v>
          </cell>
        </row>
        <row r="47">
          <cell r="B47" t="str">
            <v>CO2_R</v>
          </cell>
          <cell r="C47" t="str">
            <v>VAR_fout</v>
          </cell>
          <cell r="D47" t="str">
            <v>RHNM-SHNGABR</v>
          </cell>
          <cell r="F47">
            <v>43.099863520156497</v>
          </cell>
          <cell r="G47">
            <v>6.3800075153983897</v>
          </cell>
          <cell r="H47">
            <v>8.0285415395856194</v>
          </cell>
          <cell r="I47">
            <v>4.6450738287443398</v>
          </cell>
        </row>
        <row r="48">
          <cell r="B48" t="str">
            <v>CO2_R</v>
          </cell>
          <cell r="C48" t="str">
            <v>VAR_comnet</v>
          </cell>
          <cell r="D48" t="str">
            <v>-</v>
          </cell>
          <cell r="E48">
            <v>7113.9009473611504</v>
          </cell>
          <cell r="F48">
            <v>6514.7348415884198</v>
          </cell>
          <cell r="G48">
            <v>6244.6197248326498</v>
          </cell>
          <cell r="H48">
            <v>3960.0383995309799</v>
          </cell>
          <cell r="I48">
            <v>1691.7472370308201</v>
          </cell>
          <cell r="J48">
            <v>913.94082736672101</v>
          </cell>
        </row>
        <row r="49">
          <cell r="B49" t="str">
            <v>CO2_S</v>
          </cell>
          <cell r="C49" t="str">
            <v>VAR_fout</v>
          </cell>
          <cell r="D49" t="str">
            <v>SCOM-SHNGAHP</v>
          </cell>
          <cell r="G49">
            <v>71.002997718704194</v>
          </cell>
          <cell r="H49">
            <v>189.65289329541599</v>
          </cell>
          <cell r="I49">
            <v>302.40086888662898</v>
          </cell>
          <cell r="J49">
            <v>286.17034039281799</v>
          </cell>
        </row>
        <row r="50">
          <cell r="B50" t="str">
            <v>CO2_S</v>
          </cell>
          <cell r="C50" t="str">
            <v>VAR_fout</v>
          </cell>
          <cell r="D50" t="str">
            <v>SCOM-CHPNGA</v>
          </cell>
          <cell r="E50">
            <v>96.032357806702905</v>
          </cell>
          <cell r="F50">
            <v>98.1158853600556</v>
          </cell>
          <cell r="G50">
            <v>2.1571059240367201</v>
          </cell>
          <cell r="H50">
            <v>0.34637189701149701</v>
          </cell>
          <cell r="I50">
            <v>0.31043878611122</v>
          </cell>
        </row>
        <row r="51">
          <cell r="B51" t="str">
            <v>CO2_S</v>
          </cell>
          <cell r="C51" t="str">
            <v>VAR_fout</v>
          </cell>
          <cell r="D51" t="str">
            <v>SCOM-SHNGABR</v>
          </cell>
          <cell r="E51">
            <v>1440.9467260886399</v>
          </cell>
          <cell r="F51">
            <v>1508.6882940716</v>
          </cell>
          <cell r="G51">
            <v>1290.7288575490099</v>
          </cell>
          <cell r="H51">
            <v>953.12872946674099</v>
          </cell>
          <cell r="I51">
            <v>349.23699233594903</v>
          </cell>
          <cell r="J51">
            <v>139.87895561484899</v>
          </cell>
        </row>
        <row r="52">
          <cell r="B52" t="str">
            <v>CO2_S</v>
          </cell>
          <cell r="C52" t="str">
            <v>VAR_fout</v>
          </cell>
          <cell r="D52" t="str">
            <v>SCOM-SHLFOBR</v>
          </cell>
          <cell r="E52">
            <v>2229.91451566669</v>
          </cell>
          <cell r="F52">
            <v>1952.0212725117401</v>
          </cell>
          <cell r="G52">
            <v>1882.07900402768</v>
          </cell>
          <cell r="H52">
            <v>1112.2297690908099</v>
          </cell>
          <cell r="I52">
            <v>386.85538364477702</v>
          </cell>
          <cell r="J52">
            <v>29.0370825460246</v>
          </cell>
        </row>
        <row r="53">
          <cell r="B53" t="str">
            <v>CO2_S</v>
          </cell>
          <cell r="C53" t="str">
            <v>VAR_comnet</v>
          </cell>
          <cell r="D53" t="str">
            <v>-</v>
          </cell>
          <cell r="E53">
            <v>3766.89359956204</v>
          </cell>
          <cell r="F53">
            <v>3558.8254519433999</v>
          </cell>
          <cell r="G53">
            <v>3245.96796521944</v>
          </cell>
          <cell r="H53">
            <v>2255.3577637499802</v>
          </cell>
          <cell r="I53">
            <v>1038.80368365347</v>
          </cell>
          <cell r="J53">
            <v>455.08637855369199</v>
          </cell>
        </row>
        <row r="54">
          <cell r="B54" t="str">
            <v>CO2_T</v>
          </cell>
          <cell r="C54" t="str">
            <v>VAR_fout</v>
          </cell>
          <cell r="D54" t="str">
            <v>T_B_u-ICENGAEXT</v>
          </cell>
          <cell r="E54">
            <v>1.76463037492786E-2</v>
          </cell>
          <cell r="F54">
            <v>1.7915203280647399E-2</v>
          </cell>
          <cell r="G54">
            <v>1.7867524365495199E-2</v>
          </cell>
        </row>
        <row r="55">
          <cell r="B55" t="str">
            <v>CO2_T</v>
          </cell>
          <cell r="C55" t="str">
            <v>VAR_fout</v>
          </cell>
          <cell r="D55" t="str">
            <v>TFHGV-ICENGA</v>
          </cell>
          <cell r="E55">
            <v>3.4500176677106169</v>
          </cell>
          <cell r="F55">
            <v>1.3130351982912041</v>
          </cell>
          <cell r="G55">
            <v>1.3701448504578326</v>
          </cell>
          <cell r="H55">
            <v>0.61800354526219603</v>
          </cell>
          <cell r="I55">
            <v>0.45802180690744698</v>
          </cell>
          <cell r="J55">
            <v>3.4881137193237897E-2</v>
          </cell>
        </row>
        <row r="56">
          <cell r="B56" t="str">
            <v>CO2_T</v>
          </cell>
          <cell r="C56" t="str">
            <v>VAR_fout</v>
          </cell>
          <cell r="D56" t="str">
            <v>T-Plg-GSL-mix_S1</v>
          </cell>
          <cell r="E56">
            <v>2.2561762143410199E-2</v>
          </cell>
          <cell r="F56">
            <v>0.18561255347613098</v>
          </cell>
          <cell r="G56">
            <v>0.22569920675685801</v>
          </cell>
          <cell r="H56">
            <v>0.70184325391551683</v>
          </cell>
          <cell r="I56">
            <v>0.41199720911885257</v>
          </cell>
          <cell r="J56">
            <v>5.1001527764614904E-2</v>
          </cell>
        </row>
        <row r="57">
          <cell r="B57" t="str">
            <v>CO2_T</v>
          </cell>
          <cell r="C57" t="str">
            <v>VAR_fout</v>
          </cell>
          <cell r="D57" t="str">
            <v>T-Plg-GSL-mix_S2</v>
          </cell>
          <cell r="E57">
            <v>5.3024847029709203</v>
          </cell>
          <cell r="F57">
            <v>11.01121287282402</v>
          </cell>
          <cell r="G57">
            <v>8.2935592966285601</v>
          </cell>
          <cell r="H57">
            <v>8.438823882793951</v>
          </cell>
          <cell r="I57">
            <v>2.3263728513650914</v>
          </cell>
          <cell r="J57">
            <v>0.39650872479951393</v>
          </cell>
        </row>
        <row r="58">
          <cell r="B58" t="str">
            <v>CO2_T</v>
          </cell>
          <cell r="C58" t="str">
            <v>VAR_fout</v>
          </cell>
          <cell r="D58" t="str">
            <v>T-Plg-GSL-mix_S3</v>
          </cell>
          <cell r="E58">
            <v>5.7038302849812403</v>
          </cell>
          <cell r="F58">
            <v>73.034330761872695</v>
          </cell>
          <cell r="G58">
            <v>128.9975154038851</v>
          </cell>
          <cell r="H58">
            <v>500.69329134030602</v>
          </cell>
          <cell r="I58">
            <v>484.9988099693436</v>
          </cell>
          <cell r="J58">
            <v>43.403093803197265</v>
          </cell>
        </row>
        <row r="59">
          <cell r="B59" t="str">
            <v>CO2_T</v>
          </cell>
          <cell r="C59" t="str">
            <v>VAR_fout</v>
          </cell>
          <cell r="D59" t="str">
            <v>T-Plg-GSL-mix_S4</v>
          </cell>
          <cell r="E59">
            <v>9.3610583686256401</v>
          </cell>
          <cell r="F59">
            <v>19.966021246110849</v>
          </cell>
          <cell r="G59">
            <v>22.366917014193099</v>
          </cell>
          <cell r="H59">
            <v>14.676283570544584</v>
          </cell>
          <cell r="I59">
            <v>1.5908825522714822</v>
          </cell>
          <cell r="J59">
            <v>0.25255882500669202</v>
          </cell>
        </row>
        <row r="60">
          <cell r="B60" t="str">
            <v>CO2_T</v>
          </cell>
          <cell r="C60" t="str">
            <v>VAR_fout</v>
          </cell>
          <cell r="D60" t="str">
            <v>TFLGV-HYBDSL</v>
          </cell>
          <cell r="F60">
            <v>25.0169337434358</v>
          </cell>
          <cell r="G60">
            <v>133.66864473130659</v>
          </cell>
          <cell r="H60">
            <v>91.523574555532875</v>
          </cell>
          <cell r="I60">
            <v>2.51502054907582E-2</v>
          </cell>
        </row>
        <row r="61">
          <cell r="B61" t="str">
            <v>CO2_T</v>
          </cell>
          <cell r="C61" t="str">
            <v>VAR_fout</v>
          </cell>
          <cell r="D61" t="str">
            <v>TFLGV-ICEGSLExt</v>
          </cell>
          <cell r="E61">
            <v>61.374402017310203</v>
          </cell>
          <cell r="F61">
            <v>130.427047586041</v>
          </cell>
          <cell r="G61">
            <v>40.244948086813203</v>
          </cell>
          <cell r="H61">
            <v>19.9920456705972</v>
          </cell>
        </row>
        <row r="62">
          <cell r="B62" t="str">
            <v>CO2_T</v>
          </cell>
          <cell r="C62" t="str">
            <v>VAR_fout</v>
          </cell>
          <cell r="D62" t="str">
            <v>TFLGV-ICEDSLExt</v>
          </cell>
          <cell r="E62">
            <v>805.65812305112104</v>
          </cell>
          <cell r="F62">
            <v>545.48493809402601</v>
          </cell>
          <cell r="G62">
            <v>399.82856804623498</v>
          </cell>
          <cell r="H62">
            <v>199.76700121302</v>
          </cell>
        </row>
        <row r="63">
          <cell r="B63" t="str">
            <v>CO2_T</v>
          </cell>
          <cell r="C63" t="str">
            <v>VAR_fout</v>
          </cell>
          <cell r="D63" t="str">
            <v>T_C-ICE-NGA-S1</v>
          </cell>
          <cell r="E63">
            <v>0.20053747188813112</v>
          </cell>
          <cell r="F63">
            <v>0.13765697173851138</v>
          </cell>
          <cell r="G63">
            <v>0.1197786476828136</v>
          </cell>
          <cell r="H63">
            <v>3.778204981681834E-2</v>
          </cell>
          <cell r="I63">
            <v>2.9232250184914009E-3</v>
          </cell>
        </row>
        <row r="64">
          <cell r="B64" t="str">
            <v>CO2_T</v>
          </cell>
          <cell r="C64" t="str">
            <v>VAR_fout</v>
          </cell>
          <cell r="D64" t="str">
            <v>T_C-ICE-NGA-S2</v>
          </cell>
          <cell r="E64">
            <v>2.9604628030257651</v>
          </cell>
          <cell r="F64">
            <v>3.1995557469721114</v>
          </cell>
          <cell r="G64">
            <v>3.2377815565423944</v>
          </cell>
          <cell r="H64">
            <v>0.10152156245163246</v>
          </cell>
          <cell r="I64">
            <v>4.7424457444900899E-3</v>
          </cell>
        </row>
        <row r="65">
          <cell r="B65" t="str">
            <v>CO2_T</v>
          </cell>
          <cell r="C65" t="str">
            <v>VAR_fout</v>
          </cell>
          <cell r="D65" t="str">
            <v>TFLGV-ICEDSL</v>
          </cell>
          <cell r="E65">
            <v>324.92270546770726</v>
          </cell>
          <cell r="F65">
            <v>384.72573072805568</v>
          </cell>
          <cell r="G65">
            <v>372.77045886941517</v>
          </cell>
          <cell r="H65">
            <v>153.5214885588598</v>
          </cell>
          <cell r="I65">
            <v>2.1954641598018399E-2</v>
          </cell>
        </row>
        <row r="66">
          <cell r="B66" t="str">
            <v>CO2_T</v>
          </cell>
          <cell r="C66" t="str">
            <v>VAR_fout</v>
          </cell>
          <cell r="D66" t="str">
            <v>T_C-ICE-NGA-S3</v>
          </cell>
          <cell r="E66">
            <v>0.23585298976576211</v>
          </cell>
          <cell r="F66">
            <v>0.2741892686987224</v>
          </cell>
          <cell r="G66">
            <v>0.29190259192408441</v>
          </cell>
          <cell r="H66">
            <v>0.10025552671926556</v>
          </cell>
          <cell r="I66">
            <v>5.6718222809635501E-3</v>
          </cell>
        </row>
        <row r="67">
          <cell r="B67" t="str">
            <v>CO2_T</v>
          </cell>
          <cell r="C67" t="str">
            <v>VAR_fout</v>
          </cell>
          <cell r="D67" t="str">
            <v>T_C-ICE-NGA-S4</v>
          </cell>
          <cell r="E67">
            <v>2.7140244868660268</v>
          </cell>
          <cell r="F67">
            <v>2.6677807052982199</v>
          </cell>
          <cell r="G67">
            <v>2.4919303507431794</v>
          </cell>
          <cell r="H67">
            <v>6.8058035634800354E-2</v>
          </cell>
          <cell r="I67">
            <v>5.2494516172348904E-3</v>
          </cell>
        </row>
        <row r="68">
          <cell r="B68" t="str">
            <v>CO2_T</v>
          </cell>
          <cell r="C68" t="str">
            <v>VAR_fout</v>
          </cell>
          <cell r="D68" t="str">
            <v>T_C-MHY-GSL-S1</v>
          </cell>
          <cell r="F68">
            <v>7.9636583048228404E-2</v>
          </cell>
          <cell r="G68">
            <v>0.1443242720884732</v>
          </cell>
          <cell r="H68">
            <v>0.19226359947472399</v>
          </cell>
          <cell r="I68">
            <v>3.3711721651541023E-2</v>
          </cell>
        </row>
        <row r="69">
          <cell r="B69" t="str">
            <v>CO2_T</v>
          </cell>
          <cell r="C69" t="str">
            <v>VAR_fout</v>
          </cell>
          <cell r="D69" t="str">
            <v>T_C-MHY-GSL-S2</v>
          </cell>
          <cell r="F69">
            <v>6.2817336751195593E-2</v>
          </cell>
          <cell r="G69">
            <v>0.17392617684296841</v>
          </cell>
          <cell r="H69">
            <v>0.21739753061571179</v>
          </cell>
          <cell r="I69">
            <v>3.2066870146602797E-2</v>
          </cell>
        </row>
        <row r="70">
          <cell r="B70" t="str">
            <v>CO2_T</v>
          </cell>
          <cell r="C70" t="str">
            <v>VAR_fout</v>
          </cell>
          <cell r="D70" t="str">
            <v>T_C-MHY-DSL-S1</v>
          </cell>
          <cell r="F70">
            <v>6.3095217444147297E-2</v>
          </cell>
          <cell r="G70">
            <v>0.11137991840406621</v>
          </cell>
          <cell r="H70">
            <v>0.14614711417212639</v>
          </cell>
          <cell r="I70">
            <v>2.4888581237005221E-2</v>
          </cell>
        </row>
        <row r="71">
          <cell r="B71" t="str">
            <v>CO2_T</v>
          </cell>
          <cell r="C71" t="str">
            <v>VAR_fout</v>
          </cell>
          <cell r="D71" t="str">
            <v>T_C-MHY-GSL-S3</v>
          </cell>
          <cell r="F71">
            <v>8.2890655027651097E-2</v>
          </cell>
          <cell r="G71">
            <v>0.2065099021369784</v>
          </cell>
          <cell r="H71">
            <v>0.23643423414754977</v>
          </cell>
          <cell r="I71">
            <v>3.1858808405704202E-2</v>
          </cell>
        </row>
        <row r="72">
          <cell r="B72" t="str">
            <v>CO2_T</v>
          </cell>
          <cell r="C72" t="str">
            <v>VAR_fout</v>
          </cell>
          <cell r="D72" t="str">
            <v>T_C-MHY-DSL-S2</v>
          </cell>
          <cell r="F72">
            <v>5.15264168044825E-2</v>
          </cell>
          <cell r="G72">
            <v>0.13440554449432152</v>
          </cell>
          <cell r="H72">
            <v>0.16317027771033671</v>
          </cell>
          <cell r="I72">
            <v>2.3986601976322831E-2</v>
          </cell>
        </row>
        <row r="73">
          <cell r="B73" t="str">
            <v>CO2_T</v>
          </cell>
          <cell r="C73" t="str">
            <v>VAR_fout</v>
          </cell>
          <cell r="D73" t="str">
            <v>T_C-MHY-GSL-S4</v>
          </cell>
          <cell r="F73">
            <v>0.10121725942680899</v>
          </cell>
          <cell r="G73">
            <v>0.26126233879024152</v>
          </cell>
          <cell r="H73">
            <v>0.29239967892065433</v>
          </cell>
          <cell r="I73">
            <v>3.7557043716493703E-2</v>
          </cell>
        </row>
        <row r="74">
          <cell r="B74" t="str">
            <v>CO2_T</v>
          </cell>
          <cell r="C74" t="str">
            <v>VAR_fout</v>
          </cell>
          <cell r="D74" t="str">
            <v>T_C-MHY-DSL-S3</v>
          </cell>
          <cell r="F74">
            <v>6.4621187644566702E-2</v>
          </cell>
          <cell r="G74">
            <v>0.1513110017986368</v>
          </cell>
          <cell r="H74">
            <v>0.17221756504362809</v>
          </cell>
          <cell r="I74">
            <v>2.3347404452172239E-2</v>
          </cell>
        </row>
        <row r="75">
          <cell r="B75" t="str">
            <v>CO2_T</v>
          </cell>
          <cell r="C75" t="str">
            <v>VAR_fout</v>
          </cell>
          <cell r="D75" t="str">
            <v>T_B_c-HYBDSL-S1</v>
          </cell>
          <cell r="F75">
            <v>0.39211465074084201</v>
          </cell>
          <cell r="G75">
            <v>0.45735993392071039</v>
          </cell>
          <cell r="H75">
            <v>7.1038077751069606E-4</v>
          </cell>
          <cell r="I75">
            <v>3.90861260475742E-3</v>
          </cell>
          <cell r="J75">
            <v>2.0727119399185099E-3</v>
          </cell>
        </row>
        <row r="76">
          <cell r="B76" t="str">
            <v>CO2_T</v>
          </cell>
          <cell r="C76" t="str">
            <v>VAR_fout</v>
          </cell>
          <cell r="D76" t="str">
            <v>T_C-MHY-DSL-S4</v>
          </cell>
          <cell r="F76">
            <v>5.0379179061645102E-2</v>
          </cell>
          <cell r="G76">
            <v>0.11193953347603999</v>
          </cell>
          <cell r="H76">
            <v>0.1281380534800946</v>
          </cell>
          <cell r="I76">
            <v>1.8093339525375028E-2</v>
          </cell>
        </row>
        <row r="77">
          <cell r="B77" t="str">
            <v>CO2_T</v>
          </cell>
          <cell r="C77" t="str">
            <v>VAR_fout</v>
          </cell>
          <cell r="D77" t="str">
            <v>T_B_c-HYBDSL-S2</v>
          </cell>
          <cell r="F77">
            <v>4.2303787127995499E-2</v>
          </cell>
          <cell r="G77">
            <v>7.9252738268331097E-2</v>
          </cell>
          <cell r="H77">
            <v>1.6523358603704888E-3</v>
          </cell>
          <cell r="I77">
            <v>5.9128267666666602E-3</v>
          </cell>
          <cell r="J77">
            <v>2.8901790157719928E-3</v>
          </cell>
        </row>
        <row r="78">
          <cell r="B78" t="str">
            <v>CO2_T</v>
          </cell>
          <cell r="C78" t="str">
            <v>VAR_fout</v>
          </cell>
          <cell r="D78" t="str">
            <v>T_B_c-HYBDSL-S3</v>
          </cell>
          <cell r="F78">
            <v>2.68646200824098E-2</v>
          </cell>
          <cell r="G78">
            <v>4.8181435409800501E-2</v>
          </cell>
          <cell r="H78">
            <v>9.4215971595677291E-3</v>
          </cell>
          <cell r="I78">
            <v>6.1846132044928503E-5</v>
          </cell>
        </row>
        <row r="79">
          <cell r="B79" t="str">
            <v>CO2_T</v>
          </cell>
          <cell r="C79" t="str">
            <v>VAR_fout</v>
          </cell>
          <cell r="D79" t="str">
            <v>T_B_c-HYBDSL-S4</v>
          </cell>
          <cell r="F79">
            <v>8.2148657716648293E-3</v>
          </cell>
          <cell r="G79">
            <v>1.5077039900081659E-2</v>
          </cell>
          <cell r="H79">
            <v>4.08610284260559E-4</v>
          </cell>
          <cell r="J79">
            <v>4.4975553944374402E-5</v>
          </cell>
        </row>
        <row r="80">
          <cell r="B80" t="str">
            <v>CO2_T</v>
          </cell>
          <cell r="C80" t="str">
            <v>VAR_fout</v>
          </cell>
          <cell r="D80" t="str">
            <v>TFHGV-ICEDSLExt</v>
          </cell>
          <cell r="E80">
            <v>1409.9305637725499</v>
          </cell>
          <cell r="F80">
            <v>1140.6541660313401</v>
          </cell>
          <cell r="G80">
            <v>841.66237899831106</v>
          </cell>
          <cell r="H80">
            <v>362.96583715064401</v>
          </cell>
        </row>
        <row r="81">
          <cell r="B81" t="str">
            <v>CO2_T</v>
          </cell>
          <cell r="C81" t="str">
            <v>VAR_fout</v>
          </cell>
          <cell r="D81" t="str">
            <v>TPSHPGSLEXT</v>
          </cell>
          <cell r="E81">
            <v>129.873812963153</v>
          </cell>
          <cell r="F81">
            <v>58.771655782486697</v>
          </cell>
          <cell r="G81">
            <v>5.55483362122242E-2</v>
          </cell>
          <cell r="H81">
            <v>3.4444992794720297E-2</v>
          </cell>
          <cell r="I81">
            <v>4.6936702780324399E-2</v>
          </cell>
        </row>
        <row r="82">
          <cell r="B82" t="str">
            <v>CO2_T</v>
          </cell>
          <cell r="C82" t="str">
            <v>VAR_fout</v>
          </cell>
          <cell r="D82" t="str">
            <v>T_TW-ICEGSL-S1</v>
          </cell>
          <cell r="E82">
            <v>3.265934960617455</v>
          </cell>
          <cell r="F82">
            <v>12.267521969849327</v>
          </cell>
          <cell r="G82">
            <v>24.634246434836605</v>
          </cell>
          <cell r="H82">
            <v>43.84198556887597</v>
          </cell>
          <cell r="I82">
            <v>8.9314105147357061</v>
          </cell>
          <cell r="J82">
            <v>1.0777049038964728</v>
          </cell>
        </row>
        <row r="83">
          <cell r="B83" t="str">
            <v>CO2_T</v>
          </cell>
          <cell r="C83" t="str">
            <v>VAR_fout</v>
          </cell>
          <cell r="D83" t="str">
            <v>TPSHPDSLEXT</v>
          </cell>
          <cell r="E83">
            <v>1273.9831592043399</v>
          </cell>
          <cell r="F83">
            <v>1273.9863671754299</v>
          </cell>
          <cell r="G83">
            <v>1262.64497691006</v>
          </cell>
          <cell r="H83">
            <v>1197.8446775862301</v>
          </cell>
          <cell r="I83">
            <v>1197.8199964404</v>
          </cell>
          <cell r="J83">
            <v>1197.6961422888801</v>
          </cell>
        </row>
        <row r="84">
          <cell r="B84" t="str">
            <v>CO2_T</v>
          </cell>
          <cell r="C84" t="str">
            <v>VAR_fout</v>
          </cell>
          <cell r="D84" t="str">
            <v>T_TW-ICEGSL-S2</v>
          </cell>
          <cell r="E84">
            <v>8.2828266275155293</v>
          </cell>
          <cell r="F84">
            <v>12.044992621570344</v>
          </cell>
          <cell r="G84">
            <v>12.00530655487553</v>
          </cell>
          <cell r="H84">
            <v>7.6112507228574682</v>
          </cell>
          <cell r="I84">
            <v>8.0742184188822896E-2</v>
          </cell>
          <cell r="J84">
            <v>3.9287609163327103E-2</v>
          </cell>
        </row>
        <row r="85">
          <cell r="B85" t="str">
            <v>CO2_T</v>
          </cell>
          <cell r="C85" t="str">
            <v>VAR_fout</v>
          </cell>
          <cell r="D85" t="str">
            <v>T_TW-ICEGSL-S3</v>
          </cell>
          <cell r="E85">
            <v>12.003066320457229</v>
          </cell>
          <cell r="F85">
            <v>14.837340669350816</v>
          </cell>
          <cell r="G85">
            <v>15.531975686483673</v>
          </cell>
          <cell r="H85">
            <v>14.601600757640616</v>
          </cell>
          <cell r="I85">
            <v>3.4520713713495779</v>
          </cell>
          <cell r="J85">
            <v>4.2828637993188493E-2</v>
          </cell>
        </row>
        <row r="86">
          <cell r="B86" t="str">
            <v>CO2_T</v>
          </cell>
          <cell r="C86" t="str">
            <v>VAR_fout</v>
          </cell>
          <cell r="D86" t="str">
            <v>T_C-ICEGSLEXT</v>
          </cell>
          <cell r="E86">
            <v>4722.2887354194399</v>
          </cell>
          <cell r="F86">
            <v>3923.5155916593999</v>
          </cell>
          <cell r="G86">
            <v>3456.7312990615701</v>
          </cell>
          <cell r="H86">
            <v>876.89108487194198</v>
          </cell>
        </row>
        <row r="87">
          <cell r="B87" t="str">
            <v>CO2_T</v>
          </cell>
          <cell r="C87" t="str">
            <v>VAR_fout</v>
          </cell>
          <cell r="D87" t="str">
            <v>T_TW-ICEGSL-S4</v>
          </cell>
          <cell r="E87">
            <v>7.8168180738273598</v>
          </cell>
          <cell r="F87">
            <v>9.43894845433684</v>
          </cell>
          <cell r="G87">
            <v>9.8618520443719984</v>
          </cell>
          <cell r="H87">
            <v>9.3455158723140688</v>
          </cell>
          <cell r="I87">
            <v>8.4812358992911996</v>
          </cell>
          <cell r="J87">
            <v>0.10246859014300012</v>
          </cell>
        </row>
        <row r="88">
          <cell r="B88" t="str">
            <v>CO2_T</v>
          </cell>
          <cell r="C88" t="str">
            <v>VAR_fout</v>
          </cell>
          <cell r="D88" t="str">
            <v>T_C-ICEDSLEXT</v>
          </cell>
          <cell r="E88">
            <v>4146.98727153652</v>
          </cell>
          <cell r="F88">
            <v>3569.77768994795</v>
          </cell>
          <cell r="G88">
            <v>2560.34366030304</v>
          </cell>
          <cell r="H88">
            <v>1082.5542141395699</v>
          </cell>
        </row>
        <row r="89">
          <cell r="B89" t="str">
            <v>CO2_T</v>
          </cell>
          <cell r="C89" t="str">
            <v>VAR_fout</v>
          </cell>
          <cell r="D89" t="str">
            <v>T_TW-ICEGSLEXT</v>
          </cell>
          <cell r="E89">
            <v>145.493511482381</v>
          </cell>
          <cell r="F89">
            <v>110.21257883794399</v>
          </cell>
          <cell r="G89">
            <v>75.991150103356603</v>
          </cell>
          <cell r="H89">
            <v>33.443971707014597</v>
          </cell>
        </row>
        <row r="90">
          <cell r="B90" t="str">
            <v>CO2_T</v>
          </cell>
          <cell r="C90" t="str">
            <v>VAR_fout</v>
          </cell>
          <cell r="D90" t="str">
            <v>TFLGV-ICENGA</v>
          </cell>
          <cell r="E90">
            <v>1.385162347266756</v>
          </cell>
          <cell r="F90">
            <v>1.3528519784367816</v>
          </cell>
          <cell r="G90">
            <v>1.7610289003296644</v>
          </cell>
          <cell r="H90">
            <v>4.3105455633317531E-2</v>
          </cell>
          <cell r="I90">
            <v>2.6428222297086401E-3</v>
          </cell>
        </row>
        <row r="91">
          <cell r="B91" t="str">
            <v>CO2_T</v>
          </cell>
          <cell r="C91" t="str">
            <v>VAR_fout</v>
          </cell>
          <cell r="D91" t="str">
            <v>T_B_c-ICENGA-S1</v>
          </cell>
          <cell r="F91">
            <v>0.14798783993752701</v>
          </cell>
          <cell r="G91">
            <v>0.2301621220623544</v>
          </cell>
          <cell r="H91">
            <v>8.3707335906716698E-4</v>
          </cell>
          <cell r="I91">
            <v>1.52751073148367E-3</v>
          </cell>
          <cell r="J91">
            <v>4.1335745225448299E-4</v>
          </cell>
        </row>
        <row r="92">
          <cell r="B92" t="str">
            <v>CO2_T</v>
          </cell>
          <cell r="C92" t="str">
            <v>VAR_fout</v>
          </cell>
          <cell r="D92" t="str">
            <v>T_B_c-ICENGA-S2</v>
          </cell>
          <cell r="F92">
            <v>3.2512413444039101E-2</v>
          </cell>
          <cell r="G92">
            <v>9.1158242763487801E-2</v>
          </cell>
          <cell r="H92">
            <v>8.0161227601899298E-4</v>
          </cell>
          <cell r="I92">
            <v>2.3886635198488702E-3</v>
          </cell>
          <cell r="J92">
            <v>7.8199284761635397E-4</v>
          </cell>
        </row>
        <row r="93">
          <cell r="B93" t="str">
            <v>CO2_T</v>
          </cell>
          <cell r="C93" t="str">
            <v>VAR_fout</v>
          </cell>
          <cell r="D93" t="str">
            <v>T_B_u-ICEDSL-S1</v>
          </cell>
          <cell r="E93">
            <v>2.4304682183671818E-2</v>
          </cell>
          <cell r="F93">
            <v>15.495099274774113</v>
          </cell>
          <cell r="G93">
            <v>29.593485537680785</v>
          </cell>
          <cell r="H93">
            <v>3.2639703342361198E-3</v>
          </cell>
          <cell r="I93">
            <v>2.9741223211265499E-4</v>
          </cell>
          <cell r="J93">
            <v>3.9493859856272897E-5</v>
          </cell>
        </row>
        <row r="94">
          <cell r="B94" t="str">
            <v>CO2_T</v>
          </cell>
          <cell r="C94" t="str">
            <v>VAR_fout</v>
          </cell>
          <cell r="D94" t="str">
            <v>T_B_c-ICENGA-S3</v>
          </cell>
          <cell r="F94">
            <v>2.35467657362756E-2</v>
          </cell>
          <cell r="G94">
            <v>6.0735123875496899E-2</v>
          </cell>
          <cell r="I94">
            <v>3.1725246088456003E-4</v>
          </cell>
        </row>
        <row r="95">
          <cell r="B95" t="str">
            <v>CO2_T</v>
          </cell>
          <cell r="C95" t="str">
            <v>VAR_fout</v>
          </cell>
          <cell r="D95" t="str">
            <v>T_B_u-ICEDSL-S2</v>
          </cell>
          <cell r="E95">
            <v>7.7479323376211804</v>
          </cell>
          <cell r="F95">
            <v>9.5659539938472022</v>
          </cell>
          <cell r="G95">
            <v>15.669153925677406</v>
          </cell>
          <cell r="J95">
            <v>9.4787226065079903E-5</v>
          </cell>
        </row>
        <row r="96">
          <cell r="B96" t="str">
            <v>CO2_T</v>
          </cell>
          <cell r="C96" t="str">
            <v>VAR_fout</v>
          </cell>
          <cell r="D96" t="str">
            <v>T_B_c-ICENGA-S4</v>
          </cell>
          <cell r="F96">
            <v>6.2047069109110202E-3</v>
          </cell>
          <cell r="G96">
            <v>1.4839130187984429E-2</v>
          </cell>
          <cell r="I96">
            <v>1.4353394097518701E-4</v>
          </cell>
        </row>
        <row r="97">
          <cell r="B97" t="str">
            <v>CO2_T</v>
          </cell>
          <cell r="C97" t="str">
            <v>VAR_fout</v>
          </cell>
          <cell r="D97" t="str">
            <v>T_B_u-ICEDSL-S3</v>
          </cell>
          <cell r="E97">
            <v>45.014195976115815</v>
          </cell>
          <cell r="F97">
            <v>65.495313874438267</v>
          </cell>
          <cell r="G97">
            <v>114.77704878176769</v>
          </cell>
          <cell r="J97">
            <v>1.5462216254210201E-3</v>
          </cell>
        </row>
        <row r="98">
          <cell r="B98" t="str">
            <v>CO2_T</v>
          </cell>
          <cell r="C98" t="str">
            <v>VAR_fout</v>
          </cell>
          <cell r="D98" t="str">
            <v>T_B_u-ICEDSL-S4</v>
          </cell>
          <cell r="E98">
            <v>0.52552030660225602</v>
          </cell>
          <cell r="F98">
            <v>7.7687315190153511E-2</v>
          </cell>
          <cell r="G98">
            <v>0.10512064038797898</v>
          </cell>
          <cell r="J98">
            <v>1.0344979167592301E-3</v>
          </cell>
        </row>
        <row r="99">
          <cell r="B99" t="str">
            <v>CO2_T</v>
          </cell>
          <cell r="C99" t="str">
            <v>VAR_fout</v>
          </cell>
          <cell r="D99" t="str">
            <v>T_B_c-ICENGAEXT</v>
          </cell>
          <cell r="E99">
            <v>7.7897248864456604E-3</v>
          </cell>
          <cell r="F99">
            <v>7.9101558957333507E-3</v>
          </cell>
          <cell r="G99">
            <v>7.8028833974035598E-3</v>
          </cell>
        </row>
        <row r="100">
          <cell r="B100" t="str">
            <v>CO2_T</v>
          </cell>
          <cell r="C100" t="str">
            <v>VAR_fout</v>
          </cell>
          <cell r="D100" t="str">
            <v>T_B_u-ICEDSLEXT</v>
          </cell>
          <cell r="E100">
            <v>1.27049944032868</v>
          </cell>
          <cell r="F100">
            <v>1.26937326024624</v>
          </cell>
          <cell r="G100">
            <v>1.26426243033228</v>
          </cell>
        </row>
        <row r="101">
          <cell r="B101" t="str">
            <v>CO2_T</v>
          </cell>
          <cell r="C101" t="str">
            <v>VAR_fout</v>
          </cell>
          <cell r="D101" t="str">
            <v>T_C-HYBGSLEXT</v>
          </cell>
          <cell r="E101">
            <v>92.549536380836201</v>
          </cell>
          <cell r="F101">
            <v>91.724782105129407</v>
          </cell>
          <cell r="G101">
            <v>68.276109603232598</v>
          </cell>
          <cell r="H101">
            <v>32.395991454849998</v>
          </cell>
        </row>
        <row r="102">
          <cell r="B102" t="str">
            <v>CO2_T</v>
          </cell>
          <cell r="C102" t="str">
            <v>VAR_fout</v>
          </cell>
          <cell r="D102" t="str">
            <v>TPAVDKEREXT</v>
          </cell>
          <cell r="E102">
            <v>79.576349423418094</v>
          </cell>
          <cell r="F102">
            <v>100.796237247683</v>
          </cell>
          <cell r="G102">
            <v>132.626068984081</v>
          </cell>
          <cell r="H102">
            <v>185.675788544743</v>
          </cell>
          <cell r="I102">
            <v>154.38211110512901</v>
          </cell>
          <cell r="J102">
            <v>123.088433665514</v>
          </cell>
        </row>
        <row r="103">
          <cell r="B103" t="str">
            <v>CO2_T</v>
          </cell>
          <cell r="C103" t="str">
            <v>VAR_fout</v>
          </cell>
          <cell r="D103" t="str">
            <v>T_C-ICE-GSL-S1</v>
          </cell>
          <cell r="E103">
            <v>26.535134421154112</v>
          </cell>
          <cell r="F103">
            <v>41.161929098576181</v>
          </cell>
          <cell r="G103">
            <v>95.357253360890098</v>
          </cell>
          <cell r="H103">
            <v>80.517328878676381</v>
          </cell>
          <cell r="I103">
            <v>5.6869958714303399</v>
          </cell>
        </row>
        <row r="104">
          <cell r="B104" t="str">
            <v>CO2_T</v>
          </cell>
          <cell r="C104" t="str">
            <v>VAR_fout</v>
          </cell>
          <cell r="D104" t="str">
            <v>TFLGV-ICEGSL</v>
          </cell>
          <cell r="E104">
            <v>26.335281986439185</v>
          </cell>
          <cell r="F104">
            <v>48.895881717243228</v>
          </cell>
          <cell r="G104">
            <v>65.704351274567728</v>
          </cell>
          <cell r="H104">
            <v>46.831586352663315</v>
          </cell>
          <cell r="I104">
            <v>3.3740099762018798E-2</v>
          </cell>
        </row>
        <row r="105">
          <cell r="B105" t="str">
            <v>CO2_T</v>
          </cell>
          <cell r="C105" t="str">
            <v>VAR_fout</v>
          </cell>
          <cell r="D105" t="str">
            <v>T_C-ICE-GSL-S2</v>
          </cell>
          <cell r="E105">
            <v>252.9008046578324</v>
          </cell>
          <cell r="F105">
            <v>391.81898065761465</v>
          </cell>
          <cell r="G105">
            <v>433.81241324256928</v>
          </cell>
          <cell r="H105">
            <v>491.44660514000424</v>
          </cell>
          <cell r="I105">
            <v>13.09740169055871</v>
          </cell>
        </row>
        <row r="106">
          <cell r="B106" t="str">
            <v>CO2_T</v>
          </cell>
          <cell r="C106" t="str">
            <v>VAR_fout</v>
          </cell>
          <cell r="D106" t="str">
            <v>T_C-ICE-DSL-S1</v>
          </cell>
          <cell r="E106">
            <v>0.37666578575934867</v>
          </cell>
          <cell r="F106">
            <v>0.59969096169773117</v>
          </cell>
          <cell r="G106">
            <v>0.53579366616371971</v>
          </cell>
          <cell r="H106">
            <v>0.45808110383653355</v>
          </cell>
          <cell r="I106">
            <v>2.7143108098231214E-2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T_C-ICE-GSL-S3</v>
          </cell>
          <cell r="E107">
            <v>265.61053551883668</v>
          </cell>
          <cell r="F107">
            <v>423.98283582120337</v>
          </cell>
          <cell r="G107">
            <v>418.82551923127988</v>
          </cell>
          <cell r="H107">
            <v>337.51149312467845</v>
          </cell>
          <cell r="I107">
            <v>0.1280795465892918</v>
          </cell>
        </row>
        <row r="108">
          <cell r="B108" t="str">
            <v>CO2_T</v>
          </cell>
          <cell r="C108" t="str">
            <v>VAR_fout</v>
          </cell>
          <cell r="D108" t="str">
            <v>T_C-ICE-DSL-S2</v>
          </cell>
          <cell r="E108">
            <v>70.435814685703605</v>
          </cell>
          <cell r="F108">
            <v>94.120819026661664</v>
          </cell>
          <cell r="G108">
            <v>67.742346627731351</v>
          </cell>
          <cell r="H108">
            <v>61.049876633600327</v>
          </cell>
          <cell r="I108">
            <v>2.56342198894116E-2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T_C-ICE-GSL-S4</v>
          </cell>
          <cell r="E109">
            <v>238.0555150855852</v>
          </cell>
          <cell r="F109">
            <v>387.98479042385043</v>
          </cell>
          <cell r="G109">
            <v>577.01997822784756</v>
          </cell>
          <cell r="H109">
            <v>474.30835201394467</v>
          </cell>
          <cell r="I109">
            <v>11.643100590671674</v>
          </cell>
        </row>
        <row r="110">
          <cell r="B110" t="str">
            <v>CO2_T</v>
          </cell>
          <cell r="C110" t="str">
            <v>VAR_fout</v>
          </cell>
          <cell r="D110" t="str">
            <v>T_C-ICE-DSL-S3</v>
          </cell>
          <cell r="E110">
            <v>299.66851285937503</v>
          </cell>
          <cell r="F110">
            <v>390.50212591075837</v>
          </cell>
          <cell r="G110">
            <v>386.77059059733347</v>
          </cell>
          <cell r="H110">
            <v>295.42758844228069</v>
          </cell>
          <cell r="I110">
            <v>2.40359146123061E-2</v>
          </cell>
        </row>
        <row r="111">
          <cell r="B111" t="str">
            <v>CO2_T</v>
          </cell>
          <cell r="C111" t="str">
            <v>VAR_fout</v>
          </cell>
          <cell r="D111" t="str">
            <v>T_C-ICE-DSL-S4</v>
          </cell>
          <cell r="E111">
            <v>141.99060124310341</v>
          </cell>
          <cell r="F111">
            <v>162.03043301264287</v>
          </cell>
          <cell r="G111">
            <v>159.12307287335881</v>
          </cell>
          <cell r="H111">
            <v>110.73030600841248</v>
          </cell>
          <cell r="I111">
            <v>1.8260598210575768E-2</v>
          </cell>
        </row>
        <row r="112">
          <cell r="B112" t="str">
            <v>CO2_T</v>
          </cell>
          <cell r="C112" t="str">
            <v>VAR_fout</v>
          </cell>
          <cell r="D112" t="str">
            <v>TFLGV-ICENGAExt</v>
          </cell>
          <cell r="E112">
            <v>5.9906996320806396</v>
          </cell>
          <cell r="F112">
            <v>1.84505782513672</v>
          </cell>
          <cell r="G112">
            <v>3.9243142393988801</v>
          </cell>
          <cell r="H112">
            <v>7.3659988015716098E-3</v>
          </cell>
        </row>
        <row r="113">
          <cell r="B113" t="str">
            <v>CO2_T</v>
          </cell>
          <cell r="C113" t="str">
            <v>VAR_fout</v>
          </cell>
          <cell r="D113" t="str">
            <v>T_B_u-HYBDSL-S1</v>
          </cell>
          <cell r="F113">
            <v>1.7742197634719501</v>
          </cell>
          <cell r="G113">
            <v>1.8674044466862139</v>
          </cell>
          <cell r="I113">
            <v>3.0780111817188099E-4</v>
          </cell>
          <cell r="J113">
            <v>5.1631418206466501E-5</v>
          </cell>
        </row>
        <row r="114">
          <cell r="B114" t="str">
            <v>CO2_T</v>
          </cell>
          <cell r="C114" t="str">
            <v>VAR_fout</v>
          </cell>
          <cell r="D114" t="str">
            <v>T_B_u-HYBDSL-S2</v>
          </cell>
          <cell r="F114">
            <v>6.6602314230525997E-2</v>
          </cell>
          <cell r="G114">
            <v>0.11794413702738449</v>
          </cell>
          <cell r="J114">
            <v>1.8316608423179161E-4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T_B_u-HYBDSL-S3</v>
          </cell>
          <cell r="F115">
            <v>0.108988012605399</v>
          </cell>
          <cell r="G115">
            <v>0.16523332852870709</v>
          </cell>
          <cell r="I115">
            <v>1.09682693110242E-3</v>
          </cell>
          <cell r="J115">
            <v>1.95905387689119E-3</v>
          </cell>
        </row>
        <row r="116">
          <cell r="B116" t="str">
            <v>CO2_T</v>
          </cell>
          <cell r="C116" t="str">
            <v>VAR_fout</v>
          </cell>
          <cell r="D116" t="str">
            <v>T_C-HY-GSL-S1</v>
          </cell>
          <cell r="E116">
            <v>2.9955727836974209</v>
          </cell>
          <cell r="F116">
            <v>4.1611620413835739</v>
          </cell>
          <cell r="G116">
            <v>2.967936847916679</v>
          </cell>
          <cell r="H116">
            <v>2.3890205624710825</v>
          </cell>
          <cell r="I116">
            <v>3.0979293011039119E-2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T_B_u-HYBDSL-S4</v>
          </cell>
          <cell r="F117">
            <v>6.1595646219338397E-3</v>
          </cell>
          <cell r="G117">
            <v>1.2266186806376429E-2</v>
          </cell>
          <cell r="J117">
            <v>1.8000657601158301E-3</v>
          </cell>
        </row>
        <row r="118">
          <cell r="B118" t="str">
            <v>CO2_T</v>
          </cell>
          <cell r="C118" t="str">
            <v>VAR_fout</v>
          </cell>
          <cell r="D118" t="str">
            <v>TFRLFDSLEXT</v>
          </cell>
          <cell r="E118">
            <v>29.032891706080601</v>
          </cell>
          <cell r="F118">
            <v>20.3620204636149</v>
          </cell>
          <cell r="G118">
            <v>0.21272734696172699</v>
          </cell>
          <cell r="H118">
            <v>3.0582472239699801E-2</v>
          </cell>
          <cell r="I118">
            <v>3.2218941035517597E-2</v>
          </cell>
        </row>
        <row r="119">
          <cell r="B119" t="str">
            <v>CO2_T</v>
          </cell>
          <cell r="C119" t="str">
            <v>VAR_fout</v>
          </cell>
          <cell r="D119" t="str">
            <v>T_C-HY-GSL-S2</v>
          </cell>
          <cell r="E119">
            <v>7.9257576813584922</v>
          </cell>
          <cell r="F119">
            <v>22.765298293496599</v>
          </cell>
          <cell r="G119">
            <v>63.743789774852516</v>
          </cell>
          <cell r="H119">
            <v>57.726933383941741</v>
          </cell>
          <cell r="I119">
            <v>2.854503497178432</v>
          </cell>
        </row>
        <row r="120">
          <cell r="B120" t="str">
            <v>CO2_T</v>
          </cell>
          <cell r="C120" t="str">
            <v>VAR_fout</v>
          </cell>
          <cell r="D120" t="str">
            <v>T_C-HY-DSL-S1</v>
          </cell>
          <cell r="E120">
            <v>2.57679070829061E-3</v>
          </cell>
          <cell r="F120">
            <v>12.00093429087554</v>
          </cell>
          <cell r="G120">
            <v>8.0271115373476363</v>
          </cell>
          <cell r="H120">
            <v>6.5112885761921584</v>
          </cell>
          <cell r="I120">
            <v>2.7302149759453231E-2</v>
          </cell>
        </row>
        <row r="121">
          <cell r="B121" t="str">
            <v>CO2_T</v>
          </cell>
          <cell r="C121" t="str">
            <v>VAR_fout</v>
          </cell>
          <cell r="D121" t="str">
            <v>T_C-HY-GSL-S3</v>
          </cell>
          <cell r="E121">
            <v>5.9063185442112136</v>
          </cell>
          <cell r="F121">
            <v>84.46138172186491</v>
          </cell>
          <cell r="G121">
            <v>79.941658016452521</v>
          </cell>
          <cell r="H121">
            <v>63.960123124841772</v>
          </cell>
          <cell r="I121">
            <v>1.9792747677572511E-2</v>
          </cell>
        </row>
        <row r="122">
          <cell r="B122" t="str">
            <v>CO2_T</v>
          </cell>
          <cell r="C122" t="str">
            <v>VAR_fout</v>
          </cell>
          <cell r="D122" t="str">
            <v>T_C-HY-DSL-S2</v>
          </cell>
          <cell r="E122">
            <v>0.1873332460355111</v>
          </cell>
          <cell r="F122">
            <v>38.381330579584848</v>
          </cell>
          <cell r="G122">
            <v>94.111578685897712</v>
          </cell>
          <cell r="H122">
            <v>80.038698892072375</v>
          </cell>
          <cell r="I122">
            <v>3.570986839441467</v>
          </cell>
        </row>
        <row r="123">
          <cell r="B123" t="str">
            <v>CO2_T</v>
          </cell>
          <cell r="C123" t="str">
            <v>VAR_fout</v>
          </cell>
          <cell r="D123" t="str">
            <v>T_C-HY-GSL-S4</v>
          </cell>
          <cell r="E123">
            <v>6.5421579991958989</v>
          </cell>
          <cell r="F123">
            <v>10.114481190060388</v>
          </cell>
          <cell r="G123">
            <v>9.7464487380536582</v>
          </cell>
          <cell r="H123">
            <v>8.1253402452193662</v>
          </cell>
          <cell r="I123">
            <v>2.0542596226020102E-2</v>
          </cell>
        </row>
        <row r="124">
          <cell r="B124" t="str">
            <v>CO2_T</v>
          </cell>
          <cell r="C124" t="str">
            <v>VAR_fout</v>
          </cell>
          <cell r="D124" t="str">
            <v>T_C-HY-DSL-S3</v>
          </cell>
          <cell r="E124">
            <v>1.9745930552981807</v>
          </cell>
          <cell r="F124">
            <v>3.4322226533415541</v>
          </cell>
          <cell r="G124">
            <v>3.3361875104611531</v>
          </cell>
          <cell r="H124">
            <v>2.546674106525558</v>
          </cell>
          <cell r="I124">
            <v>1.8260749389324971E-2</v>
          </cell>
        </row>
        <row r="125">
          <cell r="B125" t="str">
            <v>CO2_T</v>
          </cell>
          <cell r="C125" t="str">
            <v>VAR_fout</v>
          </cell>
          <cell r="D125" t="str">
            <v>T_C-HY-DSL-S4</v>
          </cell>
          <cell r="E125">
            <v>2.572373978162954</v>
          </cell>
          <cell r="F125">
            <v>5.3482303125328006</v>
          </cell>
          <cell r="G125">
            <v>5.1280439298306257</v>
          </cell>
          <cell r="H125">
            <v>4.2471454783169698</v>
          </cell>
          <cell r="I125">
            <v>1.8986985463885199E-2</v>
          </cell>
        </row>
        <row r="126">
          <cell r="B126" t="str">
            <v>CO2_T</v>
          </cell>
          <cell r="C126" t="str">
            <v>VAR_fout</v>
          </cell>
          <cell r="D126" t="str">
            <v>TFHGV-HYBDSL</v>
          </cell>
          <cell r="F126">
            <v>82.996246536425602</v>
          </cell>
          <cell r="G126">
            <v>303.49543445440463</v>
          </cell>
          <cell r="H126">
            <v>186.72389816363534</v>
          </cell>
          <cell r="I126">
            <v>213.17400498259479</v>
          </cell>
          <cell r="J126">
            <v>3.5612520005134499E-2</v>
          </cell>
        </row>
        <row r="127">
          <cell r="B127" t="str">
            <v>CO2_T</v>
          </cell>
          <cell r="C127" t="str">
            <v>VAR_fout</v>
          </cell>
          <cell r="D127" t="str">
            <v>TFHGV-ICEDSL</v>
          </cell>
          <cell r="E127">
            <v>381.36768297582478</v>
          </cell>
          <cell r="F127">
            <v>447.38069323841</v>
          </cell>
          <cell r="G127">
            <v>350.65866683157361</v>
          </cell>
          <cell r="H127">
            <v>32.351916167823845</v>
          </cell>
          <cell r="I127">
            <v>0.16700775568564319</v>
          </cell>
          <cell r="J127">
            <v>1.30809181511666E-2</v>
          </cell>
        </row>
        <row r="128">
          <cell r="B128" t="str">
            <v>CO2_T</v>
          </cell>
          <cell r="C128" t="str">
            <v>VAR_fout</v>
          </cell>
          <cell r="D128" t="str">
            <v>T-Plg-DSL-mix_S1</v>
          </cell>
          <cell r="E128">
            <v>1.41619564554069E-3</v>
          </cell>
          <cell r="F128">
            <v>0.16275285195630909</v>
          </cell>
          <cell r="G128">
            <v>0.2048969448224669</v>
          </cell>
          <cell r="H128">
            <v>0.71936432292020802</v>
          </cell>
          <cell r="I128">
            <v>0.41577584077522201</v>
          </cell>
          <cell r="J128">
            <v>4.9669753016163401E-2</v>
          </cell>
        </row>
        <row r="129">
          <cell r="B129" t="str">
            <v>CO2_T</v>
          </cell>
          <cell r="C129" t="str">
            <v>VAR_fout</v>
          </cell>
          <cell r="D129" t="str">
            <v>T-Plg-DSL-mix_S2</v>
          </cell>
          <cell r="E129">
            <v>1.9051850274569601E-3</v>
          </cell>
          <cell r="F129">
            <v>0.1589617133221668</v>
          </cell>
          <cell r="G129">
            <v>0.45271925463375706</v>
          </cell>
          <cell r="H129">
            <v>1.1152294700467467</v>
          </cell>
          <cell r="I129">
            <v>2.176135027547474</v>
          </cell>
          <cell r="J129">
            <v>0.36775546390553226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T-Plg-DSL-mix_S3</v>
          </cell>
          <cell r="E130">
            <v>9.9773011105394709E-3</v>
          </cell>
          <cell r="F130">
            <v>2.4535011046548396</v>
          </cell>
          <cell r="G130">
            <v>103.11863770982612</v>
          </cell>
          <cell r="H130">
            <v>352.98823922207737</v>
          </cell>
          <cell r="I130">
            <v>314.21339258557941</v>
          </cell>
          <cell r="J130">
            <v>29.534058836317701</v>
          </cell>
        </row>
        <row r="131">
          <cell r="B131" t="str">
            <v>CO2_T</v>
          </cell>
          <cell r="C131" t="str">
            <v>VAR_fout</v>
          </cell>
          <cell r="D131" t="str">
            <v>T_B_c-ICEDSL-S1</v>
          </cell>
          <cell r="E131">
            <v>8.2838215928991605</v>
          </cell>
          <cell r="F131">
            <v>21.813760070232732</v>
          </cell>
          <cell r="G131">
            <v>26.27607447127895</v>
          </cell>
          <cell r="I131">
            <v>3.7793685533407E-3</v>
          </cell>
          <cell r="J131">
            <v>2.100120023516281E-3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T-Plg-DSL-mix_S4</v>
          </cell>
          <cell r="E132">
            <v>0.41721689569545301</v>
          </cell>
          <cell r="F132">
            <v>1.7442994572226369</v>
          </cell>
          <cell r="G132">
            <v>2.81713306679652</v>
          </cell>
          <cell r="H132">
            <v>2.8780953028163179</v>
          </cell>
          <cell r="I132">
            <v>1.4811098175451891</v>
          </cell>
          <cell r="J132">
            <v>0.22999321294474512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T_B_c-ICEDSL-S2</v>
          </cell>
          <cell r="E133">
            <v>38.008684553852895</v>
          </cell>
          <cell r="F133">
            <v>28.846202625702848</v>
          </cell>
          <cell r="G133">
            <v>35.51848675776634</v>
          </cell>
          <cell r="I133">
            <v>5.8278422574131704E-3</v>
          </cell>
          <cell r="J133">
            <v>2.792725439832795E-3</v>
          </cell>
        </row>
        <row r="134">
          <cell r="B134" t="str">
            <v>CO2_T</v>
          </cell>
          <cell r="C134" t="str">
            <v>VAR_fout</v>
          </cell>
          <cell r="D134" t="str">
            <v>T_B_c-ICEDSL-S3</v>
          </cell>
          <cell r="E134">
            <v>11.493085030853448</v>
          </cell>
          <cell r="F134">
            <v>9.2616216608578394</v>
          </cell>
          <cell r="G134">
            <v>11.350375884843231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T_B_c-ICEDSL-S4</v>
          </cell>
          <cell r="E135">
            <v>1.307938961050362</v>
          </cell>
          <cell r="F135">
            <v>8.6450708913786006E-2</v>
          </cell>
          <cell r="G135">
            <v>0.1116388105243856</v>
          </cell>
        </row>
        <row r="136">
          <cell r="B136" t="str">
            <v>CO2_T</v>
          </cell>
          <cell r="C136" t="str">
            <v>VAR_fout</v>
          </cell>
          <cell r="D136" t="str">
            <v>T_B_u-ICENGA-S1</v>
          </cell>
          <cell r="F136">
            <v>0.15625080991523799</v>
          </cell>
          <cell r="G136">
            <v>0.2712207462851714</v>
          </cell>
          <cell r="H136">
            <v>3.6823611697652399E-3</v>
          </cell>
          <cell r="I136">
            <v>1.5125268750292901E-3</v>
          </cell>
          <cell r="J136">
            <v>6.1197913676277994E-4</v>
          </cell>
        </row>
        <row r="137">
          <cell r="B137" t="str">
            <v>CO2_T</v>
          </cell>
          <cell r="C137" t="str">
            <v>VAR_fout</v>
          </cell>
          <cell r="D137" t="str">
            <v>T_B_u-ICENGA-S2</v>
          </cell>
          <cell r="F137">
            <v>6.5016650363671394E-2</v>
          </cell>
          <cell r="G137">
            <v>0.27269351213605802</v>
          </cell>
          <cell r="H137">
            <v>2.8700399293751342E-3</v>
          </cell>
          <cell r="I137">
            <v>1.39862275241324E-3</v>
          </cell>
          <cell r="J137">
            <v>4.5723461784879702E-4</v>
          </cell>
        </row>
        <row r="138">
          <cell r="B138" t="str">
            <v>CO2_T</v>
          </cell>
          <cell r="C138" t="str">
            <v>VAR_fout</v>
          </cell>
          <cell r="D138" t="str">
            <v>T_B_c-ICEDSLEXT</v>
          </cell>
          <cell r="E138">
            <v>0.44175215378496702</v>
          </cell>
          <cell r="F138">
            <v>0.44085130730382599</v>
          </cell>
          <cell r="G138">
            <v>0.43761718095959901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T_B_u-ICENGA-S3</v>
          </cell>
          <cell r="F139">
            <v>9.7838005259081803E-2</v>
          </cell>
          <cell r="G139">
            <v>1.054956875829751</v>
          </cell>
          <cell r="H139">
            <v>7.34071047077721E-3</v>
          </cell>
          <cell r="I139">
            <v>2.2883481434674401E-3</v>
          </cell>
          <cell r="J139">
            <v>2.7556348919278301E-3</v>
          </cell>
        </row>
        <row r="140">
          <cell r="B140" t="str">
            <v>CO2_T</v>
          </cell>
          <cell r="C140" t="str">
            <v>VAR_fout</v>
          </cell>
          <cell r="D140" t="str">
            <v>T_B_u-ICENGA-S4</v>
          </cell>
          <cell r="F140">
            <v>5.2786584344224202E-3</v>
          </cell>
          <cell r="G140">
            <v>1.243352051583276E-2</v>
          </cell>
          <cell r="H140">
            <v>2.1717291196390581E-3</v>
          </cell>
          <cell r="I140">
            <v>1.7793597741742819E-3</v>
          </cell>
          <cell r="J140">
            <v>2.0601869126593902E-3</v>
          </cell>
        </row>
        <row r="141">
          <cell r="B141" t="str">
            <v>CO2_T</v>
          </cell>
          <cell r="C141" t="str">
            <v>VAR_comnet</v>
          </cell>
          <cell r="D141" t="str">
            <v>-</v>
          </cell>
          <cell r="E141">
            <v>15136.3233208643</v>
          </cell>
          <cell r="F141">
            <v>14351.5852575764</v>
          </cell>
          <cell r="G141">
            <v>13054.006966601501</v>
          </cell>
          <cell r="H141">
            <v>7539.7119032529199</v>
          </cell>
          <cell r="I141">
            <v>2432.2123733955</v>
          </cell>
          <cell r="J141">
            <v>1396.4387704334899</v>
          </cell>
        </row>
        <row r="142">
          <cell r="B142" t="str">
            <v>CO2</v>
          </cell>
          <cell r="C142" t="str">
            <v>VAR_fout</v>
          </cell>
          <cell r="D142" t="str">
            <v>EWSTINCCS</v>
          </cell>
          <cell r="I142">
            <v>-409.81851181502998</v>
          </cell>
          <cell r="J142">
            <v>-1256.8832126586501</v>
          </cell>
        </row>
        <row r="143">
          <cell r="B143" t="str">
            <v>CO2</v>
          </cell>
          <cell r="C143" t="str">
            <v>VAR_fout</v>
          </cell>
          <cell r="D143" t="str">
            <v>othGHG</v>
          </cell>
          <cell r="E143">
            <v>9468.5879275113693</v>
          </cell>
          <cell r="F143">
            <v>9016.1649007544693</v>
          </cell>
          <cell r="G143">
            <v>8563.7418739975801</v>
          </cell>
          <cell r="H143">
            <v>8744.7382996210199</v>
          </cell>
          <cell r="I143">
            <v>7618.0476558884302</v>
          </cell>
          <cell r="J143">
            <v>4894.7393355352397</v>
          </cell>
        </row>
        <row r="144">
          <cell r="B144" t="str">
            <v>CO2</v>
          </cell>
          <cell r="C144" t="str">
            <v>VAR_fout</v>
          </cell>
          <cell r="D144" t="str">
            <v>D-ICOA</v>
          </cell>
          <cell r="E144">
            <v>330.019851219521</v>
          </cell>
          <cell r="F144">
            <v>321.18114667158801</v>
          </cell>
          <cell r="G144">
            <v>298.36351336723902</v>
          </cell>
          <cell r="H144">
            <v>6.0100808842552401E-2</v>
          </cell>
          <cell r="I144">
            <v>9.3841824175350794E-2</v>
          </cell>
          <cell r="J144">
            <v>2.2327729807283701E-3</v>
          </cell>
        </row>
        <row r="145">
          <cell r="B145" t="str">
            <v>CO2</v>
          </cell>
          <cell r="C145" t="str">
            <v>VAR_fout</v>
          </cell>
          <cell r="D145" t="str">
            <v>CHPWSTCCS</v>
          </cell>
          <cell r="I145">
            <v>-457.14721359849199</v>
          </cell>
          <cell r="J145">
            <v>-1199.2533591833101</v>
          </cell>
        </row>
        <row r="146">
          <cell r="B146" t="str">
            <v>CO2</v>
          </cell>
          <cell r="C146" t="str">
            <v>VAR_fout</v>
          </cell>
          <cell r="D146" t="str">
            <v>D-ENGA</v>
          </cell>
          <cell r="E146">
            <v>313.09093127149202</v>
          </cell>
          <cell r="F146">
            <v>162.141045155657</v>
          </cell>
          <cell r="G146">
            <v>38.719797863348099</v>
          </cell>
        </row>
        <row r="147">
          <cell r="B147" t="str">
            <v>CO2</v>
          </cell>
          <cell r="C147" t="str">
            <v>VAR_fout</v>
          </cell>
          <cell r="D147" t="str">
            <v>D-ILFO</v>
          </cell>
          <cell r="E147">
            <v>690.33262529821604</v>
          </cell>
          <cell r="F147">
            <v>659.57743997114596</v>
          </cell>
          <cell r="G147">
            <v>599.68894110040605</v>
          </cell>
          <cell r="H147">
            <v>512.36136289772503</v>
          </cell>
          <cell r="I147">
            <v>215.03374990775799</v>
          </cell>
          <cell r="J147">
            <v>1.28846872122095E-3</v>
          </cell>
        </row>
        <row r="148">
          <cell r="B148" t="str">
            <v>CO2</v>
          </cell>
          <cell r="C148" t="str">
            <v>VAR_fout</v>
          </cell>
          <cell r="D148" t="str">
            <v>ITOT-CHPWSTCCS</v>
          </cell>
          <cell r="I148">
            <v>-57.601743510014799</v>
          </cell>
          <cell r="J148">
            <v>-787.80222442780996</v>
          </cell>
        </row>
        <row r="149">
          <cell r="B149" t="str">
            <v>CO2</v>
          </cell>
          <cell r="C149" t="str">
            <v>VAR_fout</v>
          </cell>
          <cell r="D149" t="str">
            <v>ITOT-CHPNGACCS</v>
          </cell>
          <cell r="I149">
            <v>-0.38359868620345899</v>
          </cell>
          <cell r="J149">
            <v>-37.963920650355398</v>
          </cell>
        </row>
        <row r="150">
          <cell r="B150" t="str">
            <v>CO2</v>
          </cell>
          <cell r="C150" t="str">
            <v>VAR_fout</v>
          </cell>
          <cell r="D150" t="str">
            <v>D-TDSL</v>
          </cell>
          <cell r="E150">
            <v>8916.7682465539801</v>
          </cell>
          <cell r="F150">
            <v>8259.8834144447192</v>
          </cell>
          <cell r="G150">
            <v>7071.85813281432</v>
          </cell>
          <cell r="H150">
            <v>4068.07719011162</v>
          </cell>
          <cell r="I150">
            <v>1499.4220309203799</v>
          </cell>
          <cell r="J150">
            <v>638.77297443697603</v>
          </cell>
        </row>
        <row r="151">
          <cell r="B151" t="str">
            <v>CO2</v>
          </cell>
          <cell r="C151" t="str">
            <v>VAR_fout</v>
          </cell>
          <cell r="D151" t="str">
            <v>ITOT-PROCESSCO2</v>
          </cell>
          <cell r="E151">
            <v>2089.34680048464</v>
          </cell>
          <cell r="F151">
            <v>2111.0131698740802</v>
          </cell>
          <cell r="G151">
            <v>2102.26947106126</v>
          </cell>
          <cell r="H151">
            <v>2093.6587203326199</v>
          </cell>
          <cell r="I151">
            <v>2077.41986715648</v>
          </cell>
          <cell r="J151">
            <v>2063.7516941403901</v>
          </cell>
        </row>
        <row r="152">
          <cell r="B152" t="str">
            <v>CO2</v>
          </cell>
          <cell r="C152" t="str">
            <v>VAR_fout</v>
          </cell>
          <cell r="D152" t="str">
            <v>D-ELFO</v>
          </cell>
          <cell r="E152">
            <v>29.206263122182101</v>
          </cell>
          <cell r="F152">
            <v>17.764792042492399</v>
          </cell>
          <cell r="G152">
            <v>6.9208399810753898</v>
          </cell>
          <cell r="H152">
            <v>0.689884345834054</v>
          </cell>
          <cell r="I152">
            <v>9.6442054636424608</v>
          </cell>
          <cell r="J152">
            <v>3.7711842964756402E-2</v>
          </cell>
        </row>
        <row r="153">
          <cell r="B153" t="str">
            <v>CO2</v>
          </cell>
          <cell r="C153" t="str">
            <v>VAR_fout</v>
          </cell>
          <cell r="D153" t="str">
            <v>D-TNGA</v>
          </cell>
          <cell r="E153">
            <v>15.7037450966068</v>
          </cell>
          <cell r="F153">
            <v>10.1724896485321</v>
          </cell>
          <cell r="G153">
            <v>13.699025249915801</v>
          </cell>
          <cell r="H153">
            <v>0.80475897348511505</v>
          </cell>
          <cell r="I153">
            <v>0.371018294045175</v>
          </cell>
          <cell r="J153">
            <v>2.9836578687573001E-2</v>
          </cell>
        </row>
        <row r="154">
          <cell r="B154" t="str">
            <v>CO2</v>
          </cell>
          <cell r="C154" t="str">
            <v>VAR_fout</v>
          </cell>
          <cell r="D154" t="str">
            <v>D-SNGA</v>
          </cell>
          <cell r="E154">
            <v>1524.6436714798199</v>
          </cell>
          <cell r="F154">
            <v>1523.84977005733</v>
          </cell>
          <cell r="G154">
            <v>1309.5693352902099</v>
          </cell>
          <cell r="H154">
            <v>1086.86555459442</v>
          </cell>
          <cell r="I154">
            <v>547.62716566164897</v>
          </cell>
          <cell r="J154">
            <v>276.45944352637002</v>
          </cell>
        </row>
        <row r="155">
          <cell r="B155" t="str">
            <v>CO2</v>
          </cell>
          <cell r="C155" t="str">
            <v>VAR_fout</v>
          </cell>
          <cell r="D155" t="str">
            <v>CO2compabroad</v>
          </cell>
          <cell r="H155">
            <v>-1591.9785841160401</v>
          </cell>
          <cell r="I155">
            <v>-2534.4941619664401</v>
          </cell>
          <cell r="J155">
            <v>-4894.7392822526999</v>
          </cell>
        </row>
        <row r="156">
          <cell r="B156" t="str">
            <v>CO2</v>
          </cell>
          <cell r="C156" t="str">
            <v>VAR_fout</v>
          </cell>
          <cell r="D156" t="str">
            <v>D-RNGA</v>
          </cell>
          <cell r="E156">
            <v>2656.57187888419</v>
          </cell>
          <cell r="F156">
            <v>2625.7414995754498</v>
          </cell>
          <cell r="G156">
            <v>2616.3751255413599</v>
          </cell>
          <cell r="H156">
            <v>2145.7568428703198</v>
          </cell>
          <cell r="I156">
            <v>1073.49080144251</v>
          </cell>
          <cell r="J156">
            <v>649.645560739036</v>
          </cell>
        </row>
        <row r="157">
          <cell r="B157" t="str">
            <v>CO2</v>
          </cell>
          <cell r="C157" t="str">
            <v>VAR_fout</v>
          </cell>
          <cell r="D157" t="str">
            <v>D-IHFO</v>
          </cell>
          <cell r="E157">
            <v>213.78362700946099</v>
          </cell>
          <cell r="F157">
            <v>204.777404259245</v>
          </cell>
          <cell r="G157">
            <v>0.85652503223166498</v>
          </cell>
          <cell r="H157">
            <v>5.0946835602173703E-2</v>
          </cell>
          <cell r="I157">
            <v>7.7824578918368706E-2</v>
          </cell>
        </row>
        <row r="158">
          <cell r="B158" t="str">
            <v>CO2</v>
          </cell>
          <cell r="C158" t="str">
            <v>VAR_fout</v>
          </cell>
          <cell r="D158" t="str">
            <v>SUP_WSTHTGBIOCCS</v>
          </cell>
          <cell r="I158">
            <v>-2.0066568622909502E-2</v>
          </cell>
          <cell r="J158">
            <v>-0.61559538156611904</v>
          </cell>
        </row>
        <row r="159">
          <cell r="B159" t="str">
            <v>CO2</v>
          </cell>
          <cell r="C159" t="str">
            <v>VAR_fout</v>
          </cell>
          <cell r="D159" t="str">
            <v>D-SLFO</v>
          </cell>
          <cell r="E159">
            <v>2267.7892388262599</v>
          </cell>
          <cell r="F159">
            <v>1985.17602565522</v>
          </cell>
          <cell r="G159">
            <v>1914.02849709921</v>
          </cell>
          <cell r="H159">
            <v>1131.0170553364401</v>
          </cell>
          <cell r="I159">
            <v>393.24795598200302</v>
          </cell>
          <cell r="J159">
            <v>1.2334483381066801E-3</v>
          </cell>
        </row>
        <row r="160">
          <cell r="B160" t="str">
            <v>CO2</v>
          </cell>
          <cell r="C160" t="str">
            <v>VAR_fout</v>
          </cell>
          <cell r="D160" t="str">
            <v>D-RCOA</v>
          </cell>
          <cell r="E160">
            <v>9.2714494253999096</v>
          </cell>
          <cell r="F160">
            <v>9.2706171258528407</v>
          </cell>
          <cell r="G160">
            <v>2.4989238761534498</v>
          </cell>
          <cell r="H160">
            <v>2.11682684606645E-2</v>
          </cell>
        </row>
        <row r="161">
          <cell r="B161" t="str">
            <v>CO2</v>
          </cell>
          <cell r="C161" t="str">
            <v>VAR_fout</v>
          </cell>
          <cell r="D161" t="str">
            <v>ITOT-CHPWODCCS</v>
          </cell>
          <cell r="I161">
            <v>-561.61352754328595</v>
          </cell>
          <cell r="J161">
            <v>-1178.38817782814</v>
          </cell>
        </row>
        <row r="162">
          <cell r="B162" t="str">
            <v>CO2</v>
          </cell>
          <cell r="C162" t="str">
            <v>VAR_fout</v>
          </cell>
          <cell r="D162" t="str">
            <v>D-RLFO</v>
          </cell>
          <cell r="E162">
            <v>4514.4926719002497</v>
          </cell>
          <cell r="F162">
            <v>3846.5357873173102</v>
          </cell>
          <cell r="G162">
            <v>3621.76283956519</v>
          </cell>
          <cell r="H162">
            <v>1763.87940967084</v>
          </cell>
          <cell r="I162">
            <v>424.44931521743803</v>
          </cell>
          <cell r="J162">
            <v>1.52171408627514E-3</v>
          </cell>
        </row>
        <row r="163">
          <cell r="B163" t="str">
            <v>CO2</v>
          </cell>
          <cell r="C163" t="str">
            <v>VAR_fout</v>
          </cell>
          <cell r="D163" t="str">
            <v>D-TGSL</v>
          </cell>
          <cell r="E163">
            <v>5790.7985407467204</v>
          </cell>
          <cell r="F163">
            <v>5643.97419467481</v>
          </cell>
          <cell r="G163">
            <v>5383.0318838414596</v>
          </cell>
          <cell r="H163">
            <v>2820.1952380328398</v>
          </cell>
          <cell r="I163">
            <v>250.326084992348</v>
          </cell>
          <cell r="J163">
            <v>39.234334354510601</v>
          </cell>
        </row>
        <row r="164">
          <cell r="B164" t="str">
            <v>CO2</v>
          </cell>
          <cell r="C164" t="str">
            <v>VAR_fout</v>
          </cell>
          <cell r="D164" t="str">
            <v>EWOD-CCS</v>
          </cell>
          <cell r="I164">
            <v>-0.42488956825792101</v>
          </cell>
          <cell r="J164">
            <v>-196.83304761788301</v>
          </cell>
        </row>
        <row r="165">
          <cell r="B165" t="str">
            <v>CO2</v>
          </cell>
          <cell r="C165" t="str">
            <v>VAR_fout</v>
          </cell>
          <cell r="D165" t="str">
            <v>ITOT-PROCESSCO2CCS</v>
          </cell>
          <cell r="I165">
            <v>-0.107262969866432</v>
          </cell>
          <cell r="J165">
            <v>-1031.91740938676</v>
          </cell>
        </row>
        <row r="166">
          <cell r="B166" t="str">
            <v>CO2</v>
          </cell>
          <cell r="C166" t="str">
            <v>VAR_fout</v>
          </cell>
          <cell r="D166" t="str">
            <v>D-IWST</v>
          </cell>
          <cell r="E166">
            <v>1068.1381802373101</v>
          </cell>
          <cell r="F166">
            <v>1110.7031162109299</v>
          </cell>
          <cell r="G166">
            <v>1024.6433245588601</v>
          </cell>
          <cell r="H166">
            <v>1085.4295439254699</v>
          </cell>
          <cell r="I166">
            <v>1073.7803724956</v>
          </cell>
          <cell r="J166">
            <v>1086.85499101702</v>
          </cell>
        </row>
        <row r="167">
          <cell r="B167" t="str">
            <v>CO2</v>
          </cell>
          <cell r="C167" t="str">
            <v>VAR_fout</v>
          </cell>
          <cell r="D167" t="str">
            <v>SUP_WODH2CCS</v>
          </cell>
          <cell r="J167">
            <v>-971.30658976876896</v>
          </cell>
        </row>
        <row r="168">
          <cell r="B168" t="str">
            <v>CO2</v>
          </cell>
          <cell r="C168" t="str">
            <v>VAR_fout</v>
          </cell>
          <cell r="D168" t="str">
            <v>SUP_WODBIOCCS</v>
          </cell>
          <cell r="I168">
            <v>-0.10217851590269</v>
          </cell>
          <cell r="J168">
            <v>-97.723808950709397</v>
          </cell>
        </row>
        <row r="169">
          <cell r="B169" t="str">
            <v>CO2</v>
          </cell>
          <cell r="C169" t="str">
            <v>VAR_fout</v>
          </cell>
          <cell r="D169" t="str">
            <v>SUP_NGAH2CCS</v>
          </cell>
          <cell r="J169">
            <v>-4.6584237815019199E-2</v>
          </cell>
        </row>
        <row r="170">
          <cell r="B170" t="str">
            <v>CO2</v>
          </cell>
          <cell r="C170" t="str">
            <v>VAR_fout</v>
          </cell>
          <cell r="D170" t="str">
            <v>CT_CWODETHCCS</v>
          </cell>
          <cell r="I170">
            <v>-6.4087003678660699E-3</v>
          </cell>
          <cell r="J170">
            <v>-0.41147601375563903</v>
          </cell>
        </row>
        <row r="171">
          <cell r="B171" t="str">
            <v>CO2</v>
          </cell>
          <cell r="C171" t="str">
            <v>VAR_fout</v>
          </cell>
          <cell r="D171" t="str">
            <v>D-TKER</v>
          </cell>
          <cell r="E171">
            <v>80.761889960861595</v>
          </cell>
          <cell r="F171">
            <v>102.284461210385</v>
          </cell>
          <cell r="G171">
            <v>134.201813263818</v>
          </cell>
          <cell r="H171">
            <v>187.11201256477301</v>
          </cell>
          <cell r="I171">
            <v>153.64248937709201</v>
          </cell>
          <cell r="J171">
            <v>2.0514206570615599E-4</v>
          </cell>
        </row>
        <row r="172">
          <cell r="B172" t="str">
            <v>CO2</v>
          </cell>
          <cell r="C172" t="str">
            <v>VAR_fout</v>
          </cell>
          <cell r="D172" t="str">
            <v>D-INGA</v>
          </cell>
          <cell r="E172">
            <v>2102.7323354888399</v>
          </cell>
          <cell r="F172">
            <v>1697.0932756622899</v>
          </cell>
          <cell r="G172">
            <v>1605.31530922301</v>
          </cell>
          <cell r="H172">
            <v>1113.6681667369501</v>
          </cell>
          <cell r="I172">
            <v>196.088540311575</v>
          </cell>
          <cell r="J172">
            <v>86.701511827517294</v>
          </cell>
        </row>
        <row r="173">
          <cell r="B173" t="str">
            <v>CO2</v>
          </cell>
          <cell r="C173" t="str">
            <v>VAR_fout</v>
          </cell>
          <cell r="D173" t="str">
            <v>SUP_DAC</v>
          </cell>
          <cell r="I173">
            <v>-1.4962731328082599E-2</v>
          </cell>
          <cell r="J173">
            <v>-30.911494579844401</v>
          </cell>
        </row>
        <row r="174">
          <cell r="B174" t="str">
            <v>CO2</v>
          </cell>
          <cell r="C174" t="str">
            <v>VAR_fout</v>
          </cell>
          <cell r="D174" t="str">
            <v>CT_CWODBDSCCS</v>
          </cell>
          <cell r="I174">
            <v>-0.37097351472682899</v>
          </cell>
          <cell r="J174">
            <v>-604.36841083161198</v>
          </cell>
        </row>
        <row r="175">
          <cell r="B175" t="str">
            <v>CO2</v>
          </cell>
          <cell r="C175" t="str">
            <v>VAR_fout</v>
          </cell>
          <cell r="D175" t="str">
            <v>D-EWST</v>
          </cell>
          <cell r="E175">
            <v>2266.27808659006</v>
          </cell>
          <cell r="F175">
            <v>2250.3993828232601</v>
          </cell>
          <cell r="G175">
            <v>2319.1436817839699</v>
          </cell>
          <cell r="H175">
            <v>2366.5558015384199</v>
          </cell>
          <cell r="I175">
            <v>2460.2787637812899</v>
          </cell>
          <cell r="J175">
            <v>2552.91674452389</v>
          </cell>
        </row>
        <row r="176">
          <cell r="B176" t="str">
            <v>CO2</v>
          </cell>
          <cell r="C176" t="str">
            <v>VAR_comnet</v>
          </cell>
          <cell r="D176" t="str">
            <v>-</v>
          </cell>
          <cell r="E176">
            <v>44348.317961107103</v>
          </cell>
          <cell r="F176">
            <v>41557.703933134799</v>
          </cell>
          <cell r="G176">
            <v>38626.688854510598</v>
          </cell>
          <cell r="H176">
            <v>27528.963473349599</v>
          </cell>
          <cell r="I176">
            <v>13970.9216607859</v>
          </cell>
          <cell r="J176">
            <v>-4.0626843840488398E-5</v>
          </cell>
        </row>
        <row r="177">
          <cell r="B177" t="str">
            <v>CO2</v>
          </cell>
          <cell r="C177" t="str">
            <v>EQ_combalM</v>
          </cell>
          <cell r="D177" t="str">
            <v>-</v>
          </cell>
          <cell r="H177">
            <v>-6.7228491878175395E-2</v>
          </cell>
          <cell r="I177">
            <v>-0.20653373357218699</v>
          </cell>
          <cell r="J177">
            <v>-1.4240720744709301</v>
          </cell>
        </row>
        <row r="178">
          <cell r="B178" t="str">
            <v>CO2_X</v>
          </cell>
          <cell r="C178" t="str">
            <v>VAR_fout</v>
          </cell>
          <cell r="D178" t="str">
            <v>D-CO2_O</v>
          </cell>
          <cell r="J178">
            <v>2241.9482335073644</v>
          </cell>
        </row>
        <row r="179">
          <cell r="B179" t="str">
            <v>CO2_X</v>
          </cell>
          <cell r="C179" t="str">
            <v>VAR_fin</v>
          </cell>
          <cell r="D179" t="str">
            <v>CO2EXP</v>
          </cell>
          <cell r="J179">
            <v>2241.9482335073644</v>
          </cell>
        </row>
        <row r="180">
          <cell r="B180" t="str">
            <v>CO2_X</v>
          </cell>
          <cell r="C180" t="str">
            <v>EQ_combalM</v>
          </cell>
          <cell r="D180" t="str">
            <v>-</v>
          </cell>
          <cell r="I180">
            <v>-107.54127487372813</v>
          </cell>
          <cell r="J180">
            <v>10.49288723265591</v>
          </cell>
        </row>
        <row r="181">
          <cell r="B181" t="str">
            <v>CO2seq</v>
          </cell>
          <cell r="C181" t="str">
            <v>VAR_fout</v>
          </cell>
          <cell r="D181" t="str">
            <v>CO2SINK</v>
          </cell>
          <cell r="I181">
            <v>833.34759330272709</v>
          </cell>
          <cell r="J181">
            <v>3461.5439803128425</v>
          </cell>
        </row>
        <row r="182">
          <cell r="B182" t="str">
            <v>CO2seq</v>
          </cell>
          <cell r="C182" t="str">
            <v>VAR_comnet</v>
          </cell>
          <cell r="D182" t="str">
            <v>-</v>
          </cell>
          <cell r="I182">
            <v>833.34759330272709</v>
          </cell>
          <cell r="J182">
            <v>3461.5439803128425</v>
          </cell>
        </row>
        <row r="183">
          <cell r="B183" t="str">
            <v>CO2_SECTOR</v>
          </cell>
          <cell r="C183" t="str">
            <v>VAR_fout</v>
          </cell>
          <cell r="D183" t="str">
            <v>CO2_IND</v>
          </cell>
          <cell r="E183">
            <v>6494.3534197379822</v>
          </cell>
          <cell r="F183">
            <v>6104.3455526492853</v>
          </cell>
          <cell r="G183">
            <v>5631.137084343005</v>
          </cell>
          <cell r="H183">
            <v>4805.2288415372113</v>
          </cell>
          <cell r="I183">
            <v>3562.4941962745152</v>
          </cell>
          <cell r="J183">
            <v>3237.3117182266237</v>
          </cell>
        </row>
        <row r="184">
          <cell r="B184" t="str">
            <v>CO2_SECTOR</v>
          </cell>
          <cell r="C184" t="str">
            <v>VAR_fout</v>
          </cell>
          <cell r="D184" t="str">
            <v>CO2_RES</v>
          </cell>
          <cell r="E184">
            <v>7180.3360002098379</v>
          </cell>
          <cell r="F184">
            <v>6481.5479040186055</v>
          </cell>
          <cell r="G184">
            <v>6240.6368889827063</v>
          </cell>
          <cell r="H184">
            <v>3909.6574208096145</v>
          </cell>
          <cell r="I184">
            <v>1497.9401166599487</v>
          </cell>
          <cell r="J184">
            <v>649.64708245312204</v>
          </cell>
        </row>
        <row r="185">
          <cell r="B185" t="str">
            <v>CO2_SECTOR</v>
          </cell>
          <cell r="C185" t="str">
            <v>VAR_fout</v>
          </cell>
          <cell r="D185" t="str">
            <v>CO2_TRA</v>
          </cell>
          <cell r="E185">
            <v>14802.845537165114</v>
          </cell>
          <cell r="F185">
            <v>14014.81137682428</v>
          </cell>
          <cell r="G185">
            <v>12600.81861126685</v>
          </cell>
          <cell r="H185">
            <v>7073.4393819498655</v>
          </cell>
          <cell r="I185">
            <v>1901.5036774690325</v>
          </cell>
          <cell r="J185">
            <v>678.03734749745036</v>
          </cell>
        </row>
        <row r="186">
          <cell r="B186" t="str">
            <v>CO2_SECTOR</v>
          </cell>
          <cell r="C186" t="str">
            <v>VAR_fout</v>
          </cell>
          <cell r="D186" t="str">
            <v>CO2_ELC</v>
          </cell>
          <cell r="E186">
            <v>2608.5752809837304</v>
          </cell>
          <cell r="F186">
            <v>2430.3052200214106</v>
          </cell>
          <cell r="G186">
            <v>2364.7843196283943</v>
          </cell>
          <cell r="H186">
            <v>2367.2456858842584</v>
          </cell>
          <cell r="I186">
            <v>2469.9229692449358</v>
          </cell>
          <cell r="J186">
            <v>2552.9544563668524</v>
          </cell>
        </row>
        <row r="187">
          <cell r="B187" t="str">
            <v>CO2_SECTOR</v>
          </cell>
          <cell r="C187" t="str">
            <v>VAR_fout</v>
          </cell>
          <cell r="D187" t="str">
            <v>CO2_SER</v>
          </cell>
          <cell r="E187">
            <v>3792.43291030608</v>
          </cell>
          <cell r="F187">
            <v>3509.0257957125418</v>
          </cell>
          <cell r="G187">
            <v>3223.5978323894137</v>
          </cell>
          <cell r="H187">
            <v>2217.8826099308676</v>
          </cell>
          <cell r="I187">
            <v>940.87512164365228</v>
          </cell>
          <cell r="J187">
            <v>276.46067697470818</v>
          </cell>
        </row>
        <row r="188">
          <cell r="B188" t="str">
            <v>CO2_SECTOR</v>
          </cell>
          <cell r="C188" t="str">
            <v>VAR_fout</v>
          </cell>
          <cell r="D188" t="str">
            <v>CO2_ELCCCS</v>
          </cell>
          <cell r="E188">
            <v>2608.5752809837304</v>
          </cell>
          <cell r="F188">
            <v>2430.3052200214106</v>
          </cell>
          <cell r="G188">
            <v>2364.7843196283943</v>
          </cell>
          <cell r="H188">
            <v>2367.2456858842584</v>
          </cell>
          <cell r="I188">
            <v>1602.5155855768692</v>
          </cell>
          <cell r="J188">
            <v>-100.03048841833933</v>
          </cell>
        </row>
        <row r="189">
          <cell r="B189" t="str">
            <v>CO2_SECTOR</v>
          </cell>
          <cell r="C189" t="str">
            <v>VAR_fout</v>
          </cell>
          <cell r="D189" t="str">
            <v>CO2_H2CCS</v>
          </cell>
          <cell r="I189">
            <v>-0.49879204414216743</v>
          </cell>
          <cell r="J189">
            <v>-1674.4688297956118</v>
          </cell>
        </row>
        <row r="190">
          <cell r="B190" t="str">
            <v>CO2_SECTOR</v>
          </cell>
          <cell r="C190" t="str">
            <v>VAR_fout</v>
          </cell>
          <cell r="D190" t="str">
            <v>CO2_INDCCS</v>
          </cell>
          <cell r="E190">
            <v>6494.3534197379822</v>
          </cell>
          <cell r="F190">
            <v>6104.3455526492853</v>
          </cell>
          <cell r="G190">
            <v>5631.137084343005</v>
          </cell>
          <cell r="H190">
            <v>4805.2128122503282</v>
          </cell>
          <cell r="I190">
            <v>2942.7867016646064</v>
          </cell>
          <cell r="J190">
            <v>201.26554782306695</v>
          </cell>
        </row>
        <row r="191">
          <cell r="B191" t="str">
            <v>CO2_SECTOR</v>
          </cell>
          <cell r="C191" t="str">
            <v>VAR_comnet</v>
          </cell>
          <cell r="D191" t="str">
            <v>-</v>
          </cell>
          <cell r="E191">
            <v>43981.471849124471</v>
          </cell>
          <cell r="F191">
            <v>41074.686621896799</v>
          </cell>
          <cell r="G191">
            <v>38056.896140581739</v>
          </cell>
          <cell r="H191">
            <v>27545.912438246407</v>
          </cell>
          <cell r="I191">
            <v>14917.539576489409</v>
          </cell>
          <cell r="J191">
            <v>5821.1775111278757</v>
          </cell>
        </row>
        <row r="192">
          <cell r="B192" t="str">
            <v>CO2SC</v>
          </cell>
          <cell r="C192" t="str">
            <v>VAR_fout</v>
          </cell>
          <cell r="D192" t="str">
            <v>CO2S1</v>
          </cell>
          <cell r="E192">
            <v>6307.1990227535098</v>
          </cell>
          <cell r="F192">
            <v>6307.1990227535098</v>
          </cell>
          <cell r="G192">
            <v>6307.1990227535098</v>
          </cell>
          <cell r="H192">
            <v>6307.1990227535098</v>
          </cell>
          <cell r="I192">
            <v>6307.1990227535098</v>
          </cell>
          <cell r="J192">
            <v>6307.1990227535098</v>
          </cell>
        </row>
        <row r="193">
          <cell r="B193" t="str">
            <v>CO2SC</v>
          </cell>
          <cell r="C193" t="str">
            <v>VAR_fout</v>
          </cell>
          <cell r="D193" t="str">
            <v>CO2S2</v>
          </cell>
          <cell r="J193">
            <v>1.13168238644562E-4</v>
          </cell>
        </row>
        <row r="194">
          <cell r="B194" t="str">
            <v>CO2SC</v>
          </cell>
          <cell r="C194" t="str">
            <v>VAR_fin</v>
          </cell>
          <cell r="D194" t="str">
            <v>CO2EXP</v>
          </cell>
          <cell r="J194">
            <v>2241.9482335073699</v>
          </cell>
        </row>
        <row r="195">
          <cell r="B195" t="str">
            <v>CO2SC</v>
          </cell>
          <cell r="C195" t="str">
            <v>EQ_combalM</v>
          </cell>
          <cell r="D195" t="str">
            <v>-</v>
          </cell>
          <cell r="J195">
            <v>-6.6248183087838699E-7</v>
          </cell>
        </row>
        <row r="196">
          <cell r="B196" t="str">
            <v>CO2P</v>
          </cell>
          <cell r="C196" t="str">
            <v>VAR_fout</v>
          </cell>
          <cell r="D196" t="str">
            <v>ITOT-PROCESSCO2</v>
          </cell>
          <cell r="E196">
            <v>2089.34680048464</v>
          </cell>
          <cell r="F196">
            <v>2111.0131698740802</v>
          </cell>
          <cell r="G196">
            <v>2102.26947106126</v>
          </cell>
          <cell r="H196">
            <v>2093.6587203326235</v>
          </cell>
          <cell r="I196">
            <v>2077.4198671564836</v>
          </cell>
          <cell r="J196">
            <v>2063.7516941403874</v>
          </cell>
        </row>
        <row r="197">
          <cell r="B197" t="str">
            <v>CO2P</v>
          </cell>
          <cell r="C197" t="str">
            <v>VAR_comnet</v>
          </cell>
          <cell r="D197" t="str">
            <v>-</v>
          </cell>
          <cell r="E197">
            <v>2089.34680048464</v>
          </cell>
          <cell r="F197">
            <v>2111.0131698740802</v>
          </cell>
          <cell r="G197">
            <v>2102.26947106126</v>
          </cell>
          <cell r="H197">
            <v>2093.6587203326235</v>
          </cell>
          <cell r="I197">
            <v>2077.4198671564836</v>
          </cell>
          <cell r="J197">
            <v>2063.7516941403874</v>
          </cell>
        </row>
        <row r="198">
          <cell r="B198" t="str">
            <v>CO2_E</v>
          </cell>
          <cell r="C198" t="str">
            <v>VAR_fout</v>
          </cell>
          <cell r="D198" t="str">
            <v>EWSTINCCS</v>
          </cell>
          <cell r="I198">
            <v>442.58961744945702</v>
          </cell>
          <cell r="J198">
            <v>1330.7742957365001</v>
          </cell>
        </row>
        <row r="199">
          <cell r="B199" t="str">
            <v>CO2_E</v>
          </cell>
          <cell r="C199" t="str">
            <v>VAR_fout</v>
          </cell>
          <cell r="D199" t="str">
            <v>CHPWSTCCS</v>
          </cell>
          <cell r="I199">
            <v>513.64855460504805</v>
          </cell>
          <cell r="J199">
            <v>1347.47568447562</v>
          </cell>
        </row>
        <row r="200">
          <cell r="B200" t="str">
            <v>CO2_E</v>
          </cell>
          <cell r="C200" t="str">
            <v>VAR_fout</v>
          </cell>
          <cell r="D200" t="str">
            <v>HPLNGA</v>
          </cell>
          <cell r="E200">
            <v>114.385814304018</v>
          </cell>
          <cell r="F200">
            <v>160.34231657947399</v>
          </cell>
          <cell r="G200">
            <v>35.588000018956102</v>
          </cell>
        </row>
        <row r="201">
          <cell r="B201" t="str">
            <v>CO2_E</v>
          </cell>
          <cell r="C201" t="str">
            <v>VAR_fout</v>
          </cell>
          <cell r="D201" t="str">
            <v>CHPWST</v>
          </cell>
          <cell r="E201">
            <v>2843.2621969912502</v>
          </cell>
          <cell r="F201">
            <v>2592.19699433595</v>
          </cell>
          <cell r="G201">
            <v>2661.0217734550802</v>
          </cell>
          <cell r="H201">
            <v>2702.6061459851198</v>
          </cell>
          <cell r="I201">
            <v>2223.0500106178401</v>
          </cell>
          <cell r="J201">
            <v>1096.7208795706899</v>
          </cell>
        </row>
        <row r="202">
          <cell r="B202" t="str">
            <v>CO2_E</v>
          </cell>
          <cell r="C202" t="str">
            <v>VAR_fout</v>
          </cell>
          <cell r="D202" t="str">
            <v>CHPNGA</v>
          </cell>
          <cell r="E202">
            <v>209.558741847916</v>
          </cell>
          <cell r="F202">
            <v>1.31389268674642</v>
          </cell>
          <cell r="G202">
            <v>3.4493142928026801</v>
          </cell>
          <cell r="I202">
            <v>3.5879311934461502E-4</v>
          </cell>
        </row>
        <row r="203">
          <cell r="B203" t="str">
            <v>CO2_E</v>
          </cell>
          <cell r="C203" t="str">
            <v>VAR_fout</v>
          </cell>
          <cell r="D203" t="str">
            <v>EWSTINC</v>
          </cell>
          <cell r="E203">
            <v>1689.2939761888599</v>
          </cell>
          <cell r="F203">
            <v>1908.6025975692901</v>
          </cell>
          <cell r="G203">
            <v>1977.2659252916001</v>
          </cell>
          <cell r="H203">
            <v>2030.50445371142</v>
          </cell>
          <cell r="I203">
            <v>1741.2804849572201</v>
          </cell>
          <cell r="J203">
            <v>1330.86938662131</v>
          </cell>
        </row>
        <row r="204">
          <cell r="B204" t="str">
            <v>CO2_E</v>
          </cell>
          <cell r="C204" t="str">
            <v>VAR_fout</v>
          </cell>
          <cell r="D204" t="str">
            <v>ENGA-GTCC</v>
          </cell>
          <cell r="I204">
            <v>6.7594532691950598E-3</v>
          </cell>
          <cell r="J204">
            <v>0.203497552325688</v>
          </cell>
        </row>
        <row r="205">
          <cell r="B205" t="str">
            <v>CO2_E</v>
          </cell>
          <cell r="C205" t="str">
            <v>VAR_fout</v>
          </cell>
          <cell r="D205" t="str">
            <v>HPLOIL</v>
          </cell>
          <cell r="E205">
            <v>15.8810242342271</v>
          </cell>
          <cell r="F205">
            <v>15.9393881852225</v>
          </cell>
          <cell r="G205">
            <v>0.36758428878927402</v>
          </cell>
          <cell r="H205">
            <v>5.5833371001541302E-2</v>
          </cell>
          <cell r="I205">
            <v>2.3980209969242001E-2</v>
          </cell>
          <cell r="J205">
            <v>1.1014172671681901E-3</v>
          </cell>
        </row>
        <row r="206">
          <cell r="B206" t="str">
            <v>CO2_E</v>
          </cell>
          <cell r="C206" t="str">
            <v>VAR_fout</v>
          </cell>
          <cell r="D206" t="str">
            <v>EOIL-ENG</v>
          </cell>
          <cell r="E206">
            <v>10.296178973077399</v>
          </cell>
          <cell r="F206">
            <v>0.497725600164931</v>
          </cell>
          <cell r="G206">
            <v>3.6637839241882002</v>
          </cell>
          <cell r="H206">
            <v>0.23990863783840199</v>
          </cell>
          <cell r="I206">
            <v>8.84069018019132</v>
          </cell>
          <cell r="J206">
            <v>2.3022239767918E-2</v>
          </cell>
        </row>
        <row r="207">
          <cell r="B207" t="str">
            <v>CO2_E</v>
          </cell>
          <cell r="C207" t="str">
            <v>VAR_fout</v>
          </cell>
          <cell r="D207" t="str">
            <v>ENGA-GTOC</v>
          </cell>
          <cell r="I207">
            <v>4.8572896177427102E-3</v>
          </cell>
          <cell r="J207">
            <v>0.21298842544009799</v>
          </cell>
        </row>
        <row r="208">
          <cell r="B208" t="str">
            <v>CO2_E</v>
          </cell>
          <cell r="C208" t="str">
            <v>VAR_fout</v>
          </cell>
          <cell r="D208" t="str">
            <v>CHPOIL</v>
          </cell>
          <cell r="E208">
            <v>2.54128128389207</v>
          </cell>
          <cell r="F208">
            <v>1.03179270583094</v>
          </cell>
          <cell r="G208">
            <v>2.7764950748913702</v>
          </cell>
          <cell r="H208">
            <v>0.38315682848510302</v>
          </cell>
          <cell r="I208">
            <v>0.65573938651039199</v>
          </cell>
          <cell r="J208">
            <v>1.47633916927793E-2</v>
          </cell>
        </row>
        <row r="209">
          <cell r="B209" t="str">
            <v>CO2_E</v>
          </cell>
          <cell r="C209" t="str">
            <v>VAR_comnet</v>
          </cell>
          <cell r="D209" t="str">
            <v>-</v>
          </cell>
          <cell r="E209">
            <v>4885.2192138232404</v>
          </cell>
          <cell r="F209">
            <v>4679.9247076626798</v>
          </cell>
          <cell r="G209">
            <v>4684.1328763463098</v>
          </cell>
          <cell r="H209">
            <v>4733.7894985338598</v>
          </cell>
          <cell r="I209">
            <v>4930.1010529422501</v>
          </cell>
          <cell r="J209">
            <v>5106.2956194306198</v>
          </cell>
        </row>
        <row r="210">
          <cell r="B210" t="str">
            <v>CO2_I</v>
          </cell>
          <cell r="C210" t="str">
            <v>VAR_fout</v>
          </cell>
          <cell r="D210" t="str">
            <v>ITOT-CHPNGA</v>
          </cell>
          <cell r="E210">
            <v>109.280721313802</v>
          </cell>
          <cell r="F210">
            <v>12.9619994907932</v>
          </cell>
          <cell r="G210">
            <v>8.7649975518970695</v>
          </cell>
          <cell r="H210">
            <v>3.90090845774218</v>
          </cell>
          <cell r="I210">
            <v>103.531683498435</v>
          </cell>
          <cell r="J210">
            <v>68.435295129386702</v>
          </cell>
        </row>
        <row r="211">
          <cell r="B211" t="str">
            <v>CO2_I</v>
          </cell>
          <cell r="C211" t="str">
            <v>VAR_fout</v>
          </cell>
          <cell r="D211" t="str">
            <v>ITOT-SWHNGABR</v>
          </cell>
          <cell r="E211">
            <v>2005.1540030820199</v>
          </cell>
          <cell r="F211">
            <v>1678.7550545752699</v>
          </cell>
          <cell r="G211">
            <v>1652.2924774637199</v>
          </cell>
          <cell r="H211">
            <v>1242.99102884026</v>
          </cell>
          <cell r="I211">
            <v>227.23085037577499</v>
          </cell>
          <cell r="J211">
            <v>112.123389664649</v>
          </cell>
        </row>
        <row r="212">
          <cell r="B212" t="str">
            <v>CO2_I</v>
          </cell>
          <cell r="C212" t="str">
            <v>VAR_fout</v>
          </cell>
          <cell r="D212" t="str">
            <v>ITOT-CHPWSTCCS</v>
          </cell>
          <cell r="I212">
            <v>75.392229895243105</v>
          </cell>
          <cell r="J212">
            <v>1086.70136687425</v>
          </cell>
        </row>
        <row r="213">
          <cell r="B213" t="str">
            <v>CO2_I</v>
          </cell>
          <cell r="C213" t="str">
            <v>VAR_fout</v>
          </cell>
          <cell r="D213" t="str">
            <v>ITOT-SWHLFOBR</v>
          </cell>
          <cell r="E213">
            <v>655.77494837082099</v>
          </cell>
          <cell r="F213">
            <v>597.86312941623896</v>
          </cell>
          <cell r="G213">
            <v>586.43373807140995</v>
          </cell>
          <cell r="H213">
            <v>473.56667427974799</v>
          </cell>
          <cell r="I213">
            <v>228.81929934616201</v>
          </cell>
          <cell r="J213">
            <v>17.378263861543399</v>
          </cell>
        </row>
        <row r="214">
          <cell r="B214" t="str">
            <v>CO2_I</v>
          </cell>
          <cell r="C214" t="str">
            <v>VAR_fout</v>
          </cell>
          <cell r="D214" t="str">
            <v>ITOT-CHPNGACCS</v>
          </cell>
          <cell r="I214">
            <v>0.50735557074835602</v>
          </cell>
          <cell r="J214">
            <v>43.867395212565299</v>
          </cell>
        </row>
        <row r="215">
          <cell r="B215" t="str">
            <v>CO2_I</v>
          </cell>
          <cell r="C215" t="str">
            <v>VAR_fout</v>
          </cell>
          <cell r="D215" t="str">
            <v>ITOT-CHPGFC</v>
          </cell>
          <cell r="I215">
            <v>0.90197384425831495</v>
          </cell>
          <cell r="J215">
            <v>0.12756914470368599</v>
          </cell>
        </row>
        <row r="216">
          <cell r="B216" t="str">
            <v>CO2_I</v>
          </cell>
          <cell r="C216" t="str">
            <v>VAR_fout</v>
          </cell>
          <cell r="D216" t="str">
            <v>ITOT-SWHCOABR</v>
          </cell>
          <cell r="E216">
            <v>330.019851219521</v>
          </cell>
          <cell r="F216">
            <v>321.18114667158801</v>
          </cell>
          <cell r="G216">
            <v>298.36351336723902</v>
          </cell>
          <cell r="H216">
            <v>6.0100808842552401E-2</v>
          </cell>
          <cell r="I216">
            <v>9.3841824175350794E-2</v>
          </cell>
          <cell r="J216">
            <v>2.2327729807283701E-3</v>
          </cell>
        </row>
        <row r="217">
          <cell r="B217" t="str">
            <v>CO2_I</v>
          </cell>
          <cell r="C217" t="str">
            <v>VAR_fout</v>
          </cell>
          <cell r="D217" t="str">
            <v>ITOT-CHPOIL</v>
          </cell>
          <cell r="E217">
            <v>23.028317574440099</v>
          </cell>
          <cell r="F217">
            <v>50.708333062178099</v>
          </cell>
          <cell r="G217">
            <v>3.25681147780096</v>
          </cell>
          <cell r="H217">
            <v>47.622944917082599</v>
          </cell>
        </row>
        <row r="218">
          <cell r="B218" t="str">
            <v>CO2_I</v>
          </cell>
          <cell r="C218" t="str">
            <v>VAR_fout</v>
          </cell>
          <cell r="D218" t="str">
            <v>ITOT-SWHWSTBR</v>
          </cell>
          <cell r="E218">
            <v>723.66304696305303</v>
          </cell>
          <cell r="F218">
            <v>749.84680072915796</v>
          </cell>
          <cell r="G218">
            <v>520.46622743050705</v>
          </cell>
          <cell r="H218">
            <v>551.27702778954801</v>
          </cell>
          <cell r="I218">
            <v>545.41086956047798</v>
          </cell>
          <cell r="J218">
            <v>2.53818654485603E-2</v>
          </cell>
        </row>
        <row r="219">
          <cell r="B219" t="str">
            <v>CO2_I</v>
          </cell>
          <cell r="C219" t="str">
            <v>VAR_fout</v>
          </cell>
          <cell r="D219" t="str">
            <v>ITOT-SWHNGAHP</v>
          </cell>
          <cell r="G219">
            <v>0.789649051448994</v>
          </cell>
          <cell r="H219">
            <v>0.34411852524419301</v>
          </cell>
          <cell r="I219">
            <v>0.37246737500774901</v>
          </cell>
          <cell r="J219">
            <v>0.35930799730838298</v>
          </cell>
        </row>
        <row r="220">
          <cell r="B220" t="str">
            <v>CO2_I</v>
          </cell>
          <cell r="C220" t="str">
            <v>VAR_fout</v>
          </cell>
          <cell r="D220" t="str">
            <v>ITOT-CHPWST</v>
          </cell>
          <cell r="E220">
            <v>344.47513327425202</v>
          </cell>
          <cell r="F220">
            <v>360.86756951673101</v>
          </cell>
          <cell r="G220">
            <v>504.20247756800302</v>
          </cell>
          <cell r="H220">
            <v>534.18219336742095</v>
          </cell>
          <cell r="I220">
            <v>453.01243367496198</v>
          </cell>
          <cell r="J220">
            <v>0.156674497768689</v>
          </cell>
        </row>
        <row r="221">
          <cell r="B221" t="str">
            <v>CO2_I</v>
          </cell>
          <cell r="C221" t="str">
            <v>VAR_fout</v>
          </cell>
          <cell r="D221" t="str">
            <v>ITOT-SWHHFOBR</v>
          </cell>
          <cell r="E221">
            <v>210.21319129594499</v>
          </cell>
          <cell r="F221">
            <v>201.35738296146801</v>
          </cell>
          <cell r="G221">
            <v>0.84222006600305399</v>
          </cell>
          <cell r="H221">
            <v>5.0095964074408902E-2</v>
          </cell>
          <cell r="I221">
            <v>7.6524817754024699E-2</v>
          </cell>
        </row>
        <row r="222">
          <cell r="B222" t="str">
            <v>CO2_I</v>
          </cell>
          <cell r="C222" t="str">
            <v>VAR_comnet</v>
          </cell>
          <cell r="D222" t="str">
            <v>-</v>
          </cell>
          <cell r="E222">
            <v>4401.6092130938596</v>
          </cell>
          <cell r="F222">
            <v>3973.5414164234298</v>
          </cell>
          <cell r="G222">
            <v>3575.4121120480299</v>
          </cell>
          <cell r="H222">
            <v>2853.9950929499601</v>
          </cell>
          <cell r="I222">
            <v>1635.349529783</v>
          </cell>
          <cell r="J222">
            <v>1329.1768770205999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9.4771470268618702E-7</v>
          </cell>
          <cell r="I4">
            <v>3.57212027883548E-6</v>
          </cell>
          <cell r="J4">
            <v>1.5859865207198899E-4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I5">
            <v>3.7157244810328799E-3</v>
          </cell>
          <cell r="J5">
            <v>6.4635744954846095E-5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1.46981409992057E-5</v>
          </cell>
          <cell r="I6">
            <v>0.45451983889013597</v>
          </cell>
          <cell r="J6">
            <v>2.74341578121162E-6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1.2607147479020099E-6</v>
          </cell>
          <cell r="I7">
            <v>1.3070544398578201</v>
          </cell>
          <cell r="J7">
            <v>0.24573237432231801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7.2771451537533299E-6</v>
          </cell>
          <cell r="F8">
            <v>9.8811051002751409E-7</v>
          </cell>
          <cell r="G8">
            <v>1.13019183559028E-6</v>
          </cell>
          <cell r="H8">
            <v>1.4314662948122799E-6</v>
          </cell>
          <cell r="I8">
            <v>9.1062386277473505E-6</v>
          </cell>
          <cell r="J8">
            <v>8.4447557631890194E-6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I9">
            <v>7.2569255660881503E-3</v>
          </cell>
          <cell r="J9">
            <v>0.21626599297026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4.1054472033830898E-3</v>
          </cell>
          <cell r="F10">
            <v>3.7677770770316202E-3</v>
          </cell>
          <cell r="G10">
            <v>1.7510280148706099E-6</v>
          </cell>
          <cell r="H10">
            <v>0.11861532293062201</v>
          </cell>
          <cell r="I10">
            <v>4.7343977901479803E-2</v>
          </cell>
          <cell r="J10">
            <v>0.17555576138390599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9.9745829901972804E-7</v>
          </cell>
          <cell r="F11">
            <v>1.05552676955795E-6</v>
          </cell>
          <cell r="G11">
            <v>1.2657045526879699E-6</v>
          </cell>
          <cell r="H11">
            <v>1.5502978291678401E-6</v>
          </cell>
          <cell r="I11">
            <v>5.0708301491023104E-6</v>
          </cell>
          <cell r="J11">
            <v>8.7316497644962998E-4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1.42140605240709E-2</v>
          </cell>
          <cell r="F12">
            <v>7.30523288622488E-2</v>
          </cell>
          <cell r="G12">
            <v>2.9976699637955199E-6</v>
          </cell>
          <cell r="H12">
            <v>5.4389935983750998E-2</v>
          </cell>
          <cell r="I12">
            <v>9.5751602296053298E-2</v>
          </cell>
          <cell r="J12">
            <v>0.138966099615417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9.0569378532613206E-5</v>
          </cell>
          <cell r="I13">
            <v>0.29605731498485799</v>
          </cell>
          <cell r="J13">
            <v>3.4438190034571398E-7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1.6361077288071701E-6</v>
          </cell>
          <cell r="F14">
            <v>3.1442957653702698E-7</v>
          </cell>
          <cell r="G14">
            <v>3.6471731492044E-7</v>
          </cell>
          <cell r="H14">
            <v>4.0433919432817902E-7</v>
          </cell>
          <cell r="I14">
            <v>7.40088950278791E-7</v>
          </cell>
          <cell r="J14">
            <v>1.4149774808250999E-6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3.5335416662736702E-3</v>
          </cell>
          <cell r="I15">
            <v>1.4056798299359301</v>
          </cell>
          <cell r="J15">
            <v>2.3085758059624899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4.4703328109487002E-6</v>
          </cell>
          <cell r="I16">
            <v>6.8037790344457894E-2</v>
          </cell>
          <cell r="J16">
            <v>2.1977931811446602E-6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1.0389328152669099E-2</v>
          </cell>
          <cell r="I17">
            <v>3.8691652574214799</v>
          </cell>
          <cell r="J17">
            <v>5.6243607176170904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3.4083514067659299E-6</v>
          </cell>
          <cell r="F18">
            <v>4.0806143702612E-7</v>
          </cell>
          <cell r="G18">
            <v>5.6522970806140797E-7</v>
          </cell>
          <cell r="H18">
            <v>7.9286270775337301E-7</v>
          </cell>
          <cell r="I18">
            <v>1.7359569223800601E-6</v>
          </cell>
          <cell r="J18">
            <v>3.0370694002798102E-6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5.3972686512701901E-2</v>
          </cell>
          <cell r="F19">
            <v>0.108436481533581</v>
          </cell>
          <cell r="G19">
            <v>4.8086168448192398E-6</v>
          </cell>
          <cell r="H19">
            <v>4.9909063647793497E-6</v>
          </cell>
          <cell r="I19">
            <v>0.14969422680963801</v>
          </cell>
          <cell r="J19">
            <v>9.4138885906514799E-2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8.1970972132370504E-7</v>
          </cell>
          <cell r="F20">
            <v>2.2734900979806699E-7</v>
          </cell>
          <cell r="G20">
            <v>2.87489967801938E-7</v>
          </cell>
          <cell r="H20">
            <v>2.5767479866335803E-7</v>
          </cell>
          <cell r="I20">
            <v>5.2581215539379605E-7</v>
          </cell>
          <cell r="J20">
            <v>9.0406976129160396E-7</v>
          </cell>
        </row>
        <row r="21">
          <cell r="A21" t="str">
            <v>-</v>
          </cell>
          <cell r="B21" t="str">
            <v>VAR_ncap</v>
          </cell>
          <cell r="C21" t="str">
            <v>SUP_WSTHTGBIOCCS</v>
          </cell>
          <cell r="I21">
            <v>2.9532689347206699E-5</v>
          </cell>
          <cell r="J21">
            <v>5.01628419310245E-4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1.7900586657051301E-6</v>
          </cell>
          <cell r="F22">
            <v>9.9307416100386694E-5</v>
          </cell>
          <cell r="G22">
            <v>5.05431960478138E-5</v>
          </cell>
          <cell r="H22">
            <v>2.04852829901648E-4</v>
          </cell>
          <cell r="I22">
            <v>2.65512927190411E-6</v>
          </cell>
          <cell r="J22">
            <v>4.3414501893650899E-7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I23">
            <v>1.7074417368205001E-3</v>
          </cell>
          <cell r="J23">
            <v>5.6790703315966699E-3</v>
          </cell>
        </row>
        <row r="24">
          <cell r="A24" t="str">
            <v>-</v>
          </cell>
          <cell r="B24" t="str">
            <v>VAR_ncap</v>
          </cell>
          <cell r="C24" t="str">
            <v>SUP_WODH2CCS</v>
          </cell>
          <cell r="J24">
            <v>0.50086958773571799</v>
          </cell>
        </row>
        <row r="25">
          <cell r="A25" t="str">
            <v>-</v>
          </cell>
          <cell r="B25" t="str">
            <v>VAR_ncap</v>
          </cell>
          <cell r="C25" t="str">
            <v>SUP_WODBIOCCS</v>
          </cell>
          <cell r="I25">
            <v>9.5062810263645803E-5</v>
          </cell>
          <cell r="J25">
            <v>6.1672764986255499E-2</v>
          </cell>
        </row>
        <row r="26">
          <cell r="A26" t="str">
            <v>-</v>
          </cell>
          <cell r="B26" t="str">
            <v>VAR_ncap</v>
          </cell>
          <cell r="C26" t="str">
            <v>SUP_NGAH2CCS</v>
          </cell>
          <cell r="I26">
            <v>1.60181760408632E-6</v>
          </cell>
          <cell r="J26">
            <v>1.3241236389228099E-4</v>
          </cell>
        </row>
        <row r="27">
          <cell r="A27" t="str">
            <v>-</v>
          </cell>
          <cell r="B27" t="str">
            <v>VAR_ncap</v>
          </cell>
          <cell r="C27" t="str">
            <v>SUP_ELCH2</v>
          </cell>
          <cell r="E27">
            <v>5.2409005827806397E-4</v>
          </cell>
          <cell r="F27">
            <v>8.9276540747693703E-6</v>
          </cell>
          <cell r="G27">
            <v>6.3750581809437299E-6</v>
          </cell>
          <cell r="H27">
            <v>7.8265129328073997E-6</v>
          </cell>
          <cell r="I27">
            <v>1.65936490240127</v>
          </cell>
          <cell r="J27">
            <v>1.4359300509391999</v>
          </cell>
        </row>
        <row r="28">
          <cell r="A28" t="str">
            <v>-</v>
          </cell>
          <cell r="B28" t="str">
            <v>VAR_ncap</v>
          </cell>
          <cell r="C28" t="str">
            <v>CT_CWODBDS</v>
          </cell>
          <cell r="E28">
            <v>1.28021480288341E-6</v>
          </cell>
          <cell r="F28">
            <v>1.2951362444173999E-6</v>
          </cell>
          <cell r="G28">
            <v>1.70714236946556E-6</v>
          </cell>
          <cell r="H28">
            <v>1.0714620830728601E-6</v>
          </cell>
          <cell r="I28">
            <v>1.2786188553678201E-6</v>
          </cell>
          <cell r="J28">
            <v>5.4243724665866001E-7</v>
          </cell>
        </row>
        <row r="29">
          <cell r="A29" t="str">
            <v>-</v>
          </cell>
          <cell r="B29" t="str">
            <v>VAR_ncap</v>
          </cell>
          <cell r="C29" t="str">
            <v>CT_CWODETHCCS</v>
          </cell>
          <cell r="I29">
            <v>5.0764122999216698E-5</v>
          </cell>
          <cell r="J29">
            <v>1.4387960149901101E-3</v>
          </cell>
        </row>
        <row r="30">
          <cell r="A30" t="str">
            <v>-</v>
          </cell>
          <cell r="B30" t="str">
            <v>VAR_ncap</v>
          </cell>
          <cell r="C30" t="str">
            <v>CT_CWODPLT</v>
          </cell>
          <cell r="E30">
            <v>0.15480811494432101</v>
          </cell>
          <cell r="F30">
            <v>5.2643373632123701E-2</v>
          </cell>
          <cell r="G30">
            <v>3.1321578949202498E-6</v>
          </cell>
          <cell r="H30">
            <v>3.7178969771385301E-6</v>
          </cell>
          <cell r="I30">
            <v>8.8010316498213198E-2</v>
          </cell>
          <cell r="J30">
            <v>4.05834227820287E-2</v>
          </cell>
        </row>
        <row r="31">
          <cell r="A31" t="str">
            <v>-</v>
          </cell>
          <cell r="B31" t="str">
            <v>VAR_ncap</v>
          </cell>
          <cell r="C31" t="str">
            <v>D-DH2</v>
          </cell>
          <cell r="H31">
            <v>3.5087113514596598E-3</v>
          </cell>
          <cell r="I31">
            <v>1.39165064422816</v>
          </cell>
          <cell r="J31">
            <v>2.2246583217234401</v>
          </cell>
        </row>
        <row r="32">
          <cell r="A32" t="str">
            <v>-</v>
          </cell>
          <cell r="B32" t="str">
            <v>VAR_ncap</v>
          </cell>
          <cell r="C32" t="str">
            <v>CT_CWODETH</v>
          </cell>
          <cell r="E32">
            <v>5.5217685799445602E-2</v>
          </cell>
          <cell r="F32">
            <v>1.56084252948419E-6</v>
          </cell>
          <cell r="G32">
            <v>8.0016295520086902E-3</v>
          </cell>
          <cell r="H32">
            <v>3.0284243763211602E-6</v>
          </cell>
          <cell r="I32">
            <v>1.5409780277119199E-6</v>
          </cell>
          <cell r="J32">
            <v>7.9502411965008004E-5</v>
          </cell>
        </row>
        <row r="33">
          <cell r="A33" t="str">
            <v>-</v>
          </cell>
          <cell r="B33" t="str">
            <v>VAR_ncap</v>
          </cell>
          <cell r="C33" t="str">
            <v>D-INGA</v>
          </cell>
          <cell r="E33">
            <v>3.6916874999124601E-6</v>
          </cell>
          <cell r="F33">
            <v>1.4229560395754499E-6</v>
          </cell>
          <cell r="G33">
            <v>1.7283864292622999E-6</v>
          </cell>
          <cell r="H33">
            <v>2.4211930004003902E-6</v>
          </cell>
          <cell r="I33">
            <v>1.3311570209207E-5</v>
          </cell>
          <cell r="J33">
            <v>4.47511270414988E-5</v>
          </cell>
        </row>
        <row r="34">
          <cell r="A34" t="str">
            <v>-</v>
          </cell>
          <cell r="B34" t="str">
            <v>VAR_ncap</v>
          </cell>
          <cell r="C34" t="str">
            <v>SUP_H2DSL</v>
          </cell>
          <cell r="H34">
            <v>2.6591990864770102E-6</v>
          </cell>
          <cell r="I34">
            <v>3.8284177514701198E-3</v>
          </cell>
          <cell r="J34">
            <v>1.4632532458530401</v>
          </cell>
        </row>
        <row r="35">
          <cell r="A35" t="str">
            <v>-</v>
          </cell>
          <cell r="B35" t="str">
            <v>VAR_ncap</v>
          </cell>
          <cell r="C35" t="str">
            <v>SUP_DAC</v>
          </cell>
          <cell r="I35">
            <v>4.5367618407960199E-3</v>
          </cell>
          <cell r="J35">
            <v>3.9175484715739399</v>
          </cell>
        </row>
        <row r="36">
          <cell r="A36" t="str">
            <v>-</v>
          </cell>
          <cell r="B36" t="str">
            <v>VAR_ncap</v>
          </cell>
          <cell r="C36" t="str">
            <v>CT_CWODBDSCCS</v>
          </cell>
          <cell r="I36">
            <v>3.1732844948973002E-4</v>
          </cell>
          <cell r="J36">
            <v>0.203255126038482</v>
          </cell>
        </row>
        <row r="37">
          <cell r="A37" t="str">
            <v>-</v>
          </cell>
          <cell r="B37" t="str">
            <v>VAR_cap</v>
          </cell>
          <cell r="C37" t="str">
            <v>SUP_NGAH2</v>
          </cell>
          <cell r="H37">
            <v>9.4771470268618702E-7</v>
          </cell>
          <cell r="I37">
            <v>4.5192716994647009E-6</v>
          </cell>
          <cell r="J37">
            <v>1.6313301963092152E-4</v>
          </cell>
        </row>
        <row r="38">
          <cell r="A38" t="str">
            <v>-</v>
          </cell>
          <cell r="B38" t="str">
            <v>VAR_cap</v>
          </cell>
          <cell r="C38" t="str">
            <v>SUP_WSTHTGBIO</v>
          </cell>
          <cell r="I38">
            <v>3.7157244810328799E-3</v>
          </cell>
          <cell r="J38">
            <v>3.7800905874230224E-3</v>
          </cell>
        </row>
        <row r="39">
          <cell r="A39" t="str">
            <v>-</v>
          </cell>
          <cell r="B39" t="str">
            <v>VAR_cap</v>
          </cell>
          <cell r="C39" t="str">
            <v>STG-H2</v>
          </cell>
          <cell r="H39">
            <v>1.46981409992057E-5</v>
          </cell>
          <cell r="I39">
            <v>0.4546285612506053</v>
          </cell>
          <cell r="J39">
            <v>0.45460031054843164</v>
          </cell>
        </row>
        <row r="40">
          <cell r="A40" t="str">
            <v>-</v>
          </cell>
          <cell r="B40" t="str">
            <v>VAR_cap</v>
          </cell>
          <cell r="C40" t="str">
            <v>SUP_H2NGA</v>
          </cell>
          <cell r="H40">
            <v>1.2607147479020099E-6</v>
          </cell>
          <cell r="I40">
            <v>1.3070602341183948</v>
          </cell>
          <cell r="J40">
            <v>1.5527886553261849</v>
          </cell>
        </row>
        <row r="41">
          <cell r="A41" t="str">
            <v>-</v>
          </cell>
          <cell r="B41" t="str">
            <v>VAR_cap</v>
          </cell>
          <cell r="C41" t="str">
            <v>D-ENGA</v>
          </cell>
          <cell r="E41">
            <v>1.0275192716861339</v>
          </cell>
          <cell r="F41">
            <v>1.027520259796644</v>
          </cell>
          <cell r="G41">
            <v>1.0275213899884794</v>
          </cell>
          <cell r="H41">
            <v>1.0275228214547742</v>
          </cell>
          <cell r="I41">
            <v>1.0275350072627196</v>
          </cell>
          <cell r="J41">
            <v>0.72470813879226281</v>
          </cell>
        </row>
        <row r="42">
          <cell r="A42" t="str">
            <v>-</v>
          </cell>
          <cell r="B42" t="str">
            <v>VAR_cap</v>
          </cell>
          <cell r="C42" t="str">
            <v>D-CHEAT</v>
          </cell>
          <cell r="I42">
            <v>7.2569255660881503E-3</v>
          </cell>
          <cell r="J42">
            <v>0.22352291853634901</v>
          </cell>
        </row>
        <row r="43">
          <cell r="A43" t="str">
            <v>-</v>
          </cell>
          <cell r="B43" t="str">
            <v>VAR_cap</v>
          </cell>
          <cell r="C43" t="str">
            <v>SUP_WSTBIO</v>
          </cell>
          <cell r="E43">
            <v>0.21267469853662693</v>
          </cell>
          <cell r="F43">
            <v>0.21644159557482834</v>
          </cell>
          <cell r="G43">
            <v>0.21643310591877382</v>
          </cell>
          <cell r="H43">
            <v>0.26146643908896389</v>
          </cell>
          <cell r="I43">
            <v>0.31763808677053512</v>
          </cell>
          <cell r="J43">
            <v>0.37191122036859531</v>
          </cell>
        </row>
        <row r="44">
          <cell r="A44" t="str">
            <v>-</v>
          </cell>
          <cell r="B44" t="str">
            <v>VAR_cap</v>
          </cell>
          <cell r="C44" t="str">
            <v>D-CNGA</v>
          </cell>
          <cell r="E44">
            <v>9.9745829901972804E-7</v>
          </cell>
          <cell r="F44">
            <v>2.05298506857768E-6</v>
          </cell>
          <cell r="G44">
            <v>3.3186896212656499E-6</v>
          </cell>
          <cell r="H44">
            <v>4.8689874504334898E-6</v>
          </cell>
          <cell r="I44">
            <v>1.28289461232236E-5</v>
          </cell>
          <cell r="J44">
            <v>8.8599392257285401E-4</v>
          </cell>
        </row>
        <row r="45">
          <cell r="A45" t="str">
            <v>-</v>
          </cell>
          <cell r="B45" t="str">
            <v>VAR_cap</v>
          </cell>
          <cell r="C45" t="str">
            <v>SUP_BIONGA</v>
          </cell>
          <cell r="E45">
            <v>4.2231076855243924E-2</v>
          </cell>
          <cell r="F45">
            <v>0.11528335693814655</v>
          </cell>
          <cell r="G45">
            <v>0.11528265237857009</v>
          </cell>
          <cell r="H45">
            <v>0.16481834574384133</v>
          </cell>
          <cell r="I45">
            <v>0.26008746507760605</v>
          </cell>
          <cell r="J45">
            <v>0.30232483963685747</v>
          </cell>
        </row>
        <row r="46">
          <cell r="A46" t="str">
            <v>-</v>
          </cell>
          <cell r="B46" t="str">
            <v>VAR_cap</v>
          </cell>
          <cell r="C46" t="str">
            <v>SUP_WODH2</v>
          </cell>
          <cell r="H46">
            <v>9.0569378532613206E-5</v>
          </cell>
          <cell r="I46">
            <v>0.30034606278046383</v>
          </cell>
          <cell r="J46">
            <v>0.17304158515178902</v>
          </cell>
        </row>
        <row r="47">
          <cell r="A47" t="str">
            <v>-</v>
          </cell>
          <cell r="B47" t="str">
            <v>VAR_cap</v>
          </cell>
          <cell r="C47" t="str">
            <v>D-TNGA</v>
          </cell>
          <cell r="E47">
            <v>0.95961932918937287</v>
          </cell>
          <cell r="F47">
            <v>0.95961964361894936</v>
          </cell>
          <cell r="G47">
            <v>0.95962000833626426</v>
          </cell>
          <cell r="H47">
            <v>0.95962041267545861</v>
          </cell>
          <cell r="I47">
            <v>0.95962180551710941</v>
          </cell>
          <cell r="J47">
            <v>0.48125887684853419</v>
          </cell>
        </row>
        <row r="48">
          <cell r="A48" t="str">
            <v>-</v>
          </cell>
          <cell r="B48" t="str">
            <v>VAR_cap</v>
          </cell>
          <cell r="C48" t="str">
            <v>SUP_ELCH2_D</v>
          </cell>
          <cell r="H48">
            <v>3.5335416662736702E-3</v>
          </cell>
          <cell r="I48">
            <v>1.6987659541675999</v>
          </cell>
          <cell r="J48">
            <v>3.9459074381734398</v>
          </cell>
        </row>
        <row r="49">
          <cell r="A49" t="str">
            <v>-</v>
          </cell>
          <cell r="B49" t="str">
            <v>VAR_cap</v>
          </cell>
          <cell r="C49" t="str">
            <v>SUP_H2GSL</v>
          </cell>
          <cell r="H49">
            <v>4.4703328109487002E-6</v>
          </cell>
          <cell r="I49">
            <v>6.8053639287791901E-2</v>
          </cell>
          <cell r="J49">
            <v>6.8039812052910847E-2</v>
          </cell>
        </row>
        <row r="50">
          <cell r="A50" t="str">
            <v>-</v>
          </cell>
          <cell r="B50" t="str">
            <v>VAR_cap</v>
          </cell>
          <cell r="C50" t="str">
            <v>ESOL-PV_E</v>
          </cell>
          <cell r="H50">
            <v>1.0389328152669099E-2</v>
          </cell>
          <cell r="I50">
            <v>4.7052292325134504</v>
          </cell>
          <cell r="J50">
            <v>10.329589950130501</v>
          </cell>
        </row>
        <row r="51">
          <cell r="A51" t="str">
            <v>-</v>
          </cell>
          <cell r="B51" t="str">
            <v>VAR_cap</v>
          </cell>
          <cell r="C51" t="str">
            <v>D-SNGA</v>
          </cell>
          <cell r="E51">
            <v>2.2350556099765471</v>
          </cell>
          <cell r="F51">
            <v>2.2350560180379841</v>
          </cell>
          <cell r="G51">
            <v>2.2350565832676921</v>
          </cell>
          <cell r="H51">
            <v>2.2350573761303996</v>
          </cell>
          <cell r="I51">
            <v>2.2350604661485445</v>
          </cell>
          <cell r="J51">
            <v>1.1209018040816647</v>
          </cell>
        </row>
        <row r="52">
          <cell r="A52" t="str">
            <v>-</v>
          </cell>
          <cell r="B52" t="str">
            <v>VAR_cap</v>
          </cell>
          <cell r="C52" t="str">
            <v>SUP_MNRBIO</v>
          </cell>
          <cell r="E52">
            <v>5.3972686512701901E-2</v>
          </cell>
          <cell r="F52">
            <v>0.16240843617093814</v>
          </cell>
          <cell r="G52">
            <v>0.16241034360778889</v>
          </cell>
          <cell r="H52">
            <v>0.16240996168629371</v>
          </cell>
          <cell r="I52">
            <v>0.22482233656059333</v>
          </cell>
          <cell r="J52">
            <v>0.24384832184804089</v>
          </cell>
        </row>
        <row r="53">
          <cell r="A53" t="str">
            <v>-</v>
          </cell>
          <cell r="B53" t="str">
            <v>VAR_cap</v>
          </cell>
          <cell r="C53" t="str">
            <v>D-RNGA</v>
          </cell>
          <cell r="E53">
            <v>3.0972408271056415</v>
          </cell>
          <cell r="F53">
            <v>3.0972410544546514</v>
          </cell>
          <cell r="G53">
            <v>3.0972413419446192</v>
          </cell>
          <cell r="H53">
            <v>3.0972415996194176</v>
          </cell>
          <cell r="I53">
            <v>3.097242529620305</v>
          </cell>
          <cell r="J53">
            <v>1.5532856743303662</v>
          </cell>
        </row>
        <row r="54">
          <cell r="A54" t="str">
            <v>-</v>
          </cell>
          <cell r="B54" t="str">
            <v>VAR_cap</v>
          </cell>
          <cell r="C54" t="str">
            <v>SUP_WSTHTGBIOCCS</v>
          </cell>
          <cell r="I54">
            <v>2.9532689347206699E-5</v>
          </cell>
          <cell r="J54">
            <v>5.3101773311649855E-4</v>
          </cell>
        </row>
        <row r="55">
          <cell r="A55" t="str">
            <v>-</v>
          </cell>
          <cell r="B55" t="str">
            <v>VAR_cap</v>
          </cell>
          <cell r="C55" t="str">
            <v>SUP_WODBIO</v>
          </cell>
          <cell r="E55">
            <v>1.7900586657051301E-6</v>
          </cell>
          <cell r="F55">
            <v>1.0088287897644114E-4</v>
          </cell>
          <cell r="G55">
            <v>1.5068245115083906E-4</v>
          </cell>
          <cell r="H55">
            <v>3.5505731549602865E-4</v>
          </cell>
          <cell r="I55">
            <v>3.9244630771312683E-2</v>
          </cell>
          <cell r="J55">
            <v>1.756589925685989E-4</v>
          </cell>
        </row>
        <row r="56">
          <cell r="A56" t="str">
            <v>-</v>
          </cell>
          <cell r="B56" t="str">
            <v>VAR_cap</v>
          </cell>
          <cell r="C56" t="str">
            <v>SUP_ELCH2_SOEC</v>
          </cell>
          <cell r="I56">
            <v>1.7074417368205001E-3</v>
          </cell>
          <cell r="J56">
            <v>6.2634185386122639E-3</v>
          </cell>
        </row>
        <row r="57">
          <cell r="A57" t="str">
            <v>-</v>
          </cell>
          <cell r="B57" t="str">
            <v>VAR_cap</v>
          </cell>
          <cell r="C57" t="str">
            <v>SUP_WODH2CCS</v>
          </cell>
          <cell r="J57">
            <v>0.50086958773571799</v>
          </cell>
        </row>
        <row r="58">
          <cell r="A58" t="str">
            <v>-</v>
          </cell>
          <cell r="B58" t="str">
            <v>VAR_cap</v>
          </cell>
          <cell r="C58" t="str">
            <v>SUP_WODBIOCCS</v>
          </cell>
          <cell r="I58">
            <v>9.5062810263645803E-5</v>
          </cell>
          <cell r="J58">
            <v>6.1767827796519098E-2</v>
          </cell>
        </row>
        <row r="59">
          <cell r="A59" t="str">
            <v>-</v>
          </cell>
          <cell r="B59" t="str">
            <v>VAR_cap</v>
          </cell>
          <cell r="C59" t="str">
            <v>SUP_NGAH2CCS</v>
          </cell>
          <cell r="I59">
            <v>1.60181760408632E-6</v>
          </cell>
          <cell r="J59">
            <v>1.3369264047920657E-4</v>
          </cell>
        </row>
        <row r="60">
          <cell r="A60" t="str">
            <v>-</v>
          </cell>
          <cell r="B60" t="str">
            <v>VAR_cap</v>
          </cell>
          <cell r="C60" t="str">
            <v>SUP_ELCH2</v>
          </cell>
          <cell r="E60">
            <v>5.2409005827806397E-4</v>
          </cell>
          <cell r="F60">
            <v>5.3244388866133274E-4</v>
          </cell>
          <cell r="G60">
            <v>5.3739009109375559E-4</v>
          </cell>
          <cell r="H60">
            <v>5.4180919182614425E-4</v>
          </cell>
          <cell r="I60">
            <v>2.0127102058071302</v>
          </cell>
          <cell r="J60">
            <v>3.3767081915753181</v>
          </cell>
        </row>
        <row r="61">
          <cell r="A61" t="str">
            <v>-</v>
          </cell>
          <cell r="B61" t="str">
            <v>VAR_cap</v>
          </cell>
          <cell r="C61" t="str">
            <v>CT_CWODBDS</v>
          </cell>
          <cell r="E61">
            <v>6.2412710042628362E-2</v>
          </cell>
          <cell r="F61">
            <v>6.2413646985179552E-2</v>
          </cell>
          <cell r="G61">
            <v>6.2378056463195906E-2</v>
          </cell>
          <cell r="H61">
            <v>4.9477639747020991E-2</v>
          </cell>
          <cell r="I61">
            <v>0.1220174597931858</v>
          </cell>
          <cell r="J61">
            <v>9.7223515414811168E-2</v>
          </cell>
        </row>
        <row r="62">
          <cell r="A62" t="str">
            <v>-</v>
          </cell>
          <cell r="B62" t="str">
            <v>VAR_cap</v>
          </cell>
          <cell r="C62" t="str">
            <v>CT_CWODETHCCS</v>
          </cell>
          <cell r="I62">
            <v>5.0764122999216698E-5</v>
          </cell>
          <cell r="J62">
            <v>1.4895601379893201E-3</v>
          </cell>
        </row>
        <row r="63">
          <cell r="A63" t="str">
            <v>-</v>
          </cell>
          <cell r="B63" t="str">
            <v>VAR_cap</v>
          </cell>
          <cell r="C63" t="str">
            <v>CT_CWODPLT</v>
          </cell>
          <cell r="E63">
            <v>0.35710636555036052</v>
          </cell>
          <cell r="F63">
            <v>0.40974903469946011</v>
          </cell>
          <cell r="G63">
            <v>0.12267332453639201</v>
          </cell>
          <cell r="H63">
            <v>0.12258742321503197</v>
          </cell>
          <cell r="I63">
            <v>0.13977573226371789</v>
          </cell>
          <cell r="J63">
            <v>0.1286053162648623</v>
          </cell>
        </row>
        <row r="64">
          <cell r="A64" t="str">
            <v>-</v>
          </cell>
          <cell r="B64" t="str">
            <v>VAR_cap</v>
          </cell>
          <cell r="C64" t="str">
            <v>D-DH2</v>
          </cell>
          <cell r="H64">
            <v>3.5087113514596598E-3</v>
          </cell>
          <cell r="I64">
            <v>1.6818156399286099</v>
          </cell>
          <cell r="J64">
            <v>3.9064739616520598</v>
          </cell>
        </row>
        <row r="65">
          <cell r="A65" t="str">
            <v>-</v>
          </cell>
          <cell r="B65" t="str">
            <v>VAR_cap</v>
          </cell>
          <cell r="C65" t="str">
            <v>CT_CWODETH</v>
          </cell>
          <cell r="E65">
            <v>5.7254876113112169E-2</v>
          </cell>
          <cell r="F65">
            <v>5.7255799483630597E-2</v>
          </cell>
          <cell r="G65">
            <v>6.525700051785395E-2</v>
          </cell>
          <cell r="H65">
            <v>6.4138845715589768E-2</v>
          </cell>
          <cell r="I65">
            <v>1.1135721875949953E-4</v>
          </cell>
          <cell r="J65">
            <v>8.1541656827983941E-5</v>
          </cell>
        </row>
        <row r="66">
          <cell r="A66" t="str">
            <v>-</v>
          </cell>
          <cell r="B66" t="str">
            <v>VAR_cap</v>
          </cell>
          <cell r="C66" t="str">
            <v>D-INGA</v>
          </cell>
          <cell r="E66">
            <v>1.9844870619535999</v>
          </cell>
          <cell r="F66">
            <v>1.9844884849096396</v>
          </cell>
          <cell r="G66">
            <v>1.9844902132960687</v>
          </cell>
          <cell r="H66">
            <v>1.9844926344890692</v>
          </cell>
          <cell r="I66">
            <v>1.9845169673326446</v>
          </cell>
          <cell r="J66">
            <v>1.0955377856395059</v>
          </cell>
        </row>
        <row r="67">
          <cell r="A67" t="str">
            <v>-</v>
          </cell>
          <cell r="B67" t="str">
            <v>VAR_cap</v>
          </cell>
          <cell r="C67" t="str">
            <v>SUP_H2DSL</v>
          </cell>
          <cell r="H67">
            <v>2.6591990864770102E-6</v>
          </cell>
          <cell r="I67">
            <v>3.8387506595380684E-3</v>
          </cell>
          <cell r="J67">
            <v>1.4670836832870531</v>
          </cell>
        </row>
        <row r="68">
          <cell r="A68" t="str">
            <v>-</v>
          </cell>
          <cell r="B68" t="str">
            <v>VAR_cap</v>
          </cell>
          <cell r="C68" t="str">
            <v>SUP_DAC</v>
          </cell>
          <cell r="I68">
            <v>4.5367618407960199E-3</v>
          </cell>
          <cell r="J68">
            <v>3.9208138686696796</v>
          </cell>
        </row>
        <row r="69">
          <cell r="A69" t="str">
            <v>-</v>
          </cell>
          <cell r="B69" t="str">
            <v>VAR_cap</v>
          </cell>
          <cell r="C69" t="str">
            <v>CT_CWODBDSCCS</v>
          </cell>
          <cell r="I69">
            <v>3.1732844948973002E-4</v>
          </cell>
          <cell r="J69">
            <v>0.20357245448797101</v>
          </cell>
        </row>
        <row r="70">
          <cell r="A70" t="str">
            <v>CO2_M</v>
          </cell>
          <cell r="B70" t="str">
            <v>VAR_fin</v>
          </cell>
          <cell r="C70" t="str">
            <v>SUP_H2NGA</v>
          </cell>
          <cell r="I70">
            <v>600.30032425437321</v>
          </cell>
          <cell r="J70">
            <v>1012.8299453807772</v>
          </cell>
        </row>
        <row r="71">
          <cell r="A71" t="str">
            <v>CO2_M</v>
          </cell>
          <cell r="B71" t="str">
            <v>VAR_fin</v>
          </cell>
          <cell r="C71" t="str">
            <v>SUP_H2GSL</v>
          </cell>
          <cell r="I71">
            <v>52.819536127988322</v>
          </cell>
          <cell r="J71">
            <v>39.234334354510537</v>
          </cell>
        </row>
        <row r="72">
          <cell r="A72" t="str">
            <v>CO2_M</v>
          </cell>
          <cell r="B72" t="str">
            <v>VAR_fin</v>
          </cell>
          <cell r="C72" t="str">
            <v>SUP_H2DSL</v>
          </cell>
          <cell r="I72">
            <v>1.0730120740838156</v>
          </cell>
          <cell r="J72">
            <v>638.77318098802152</v>
          </cell>
        </row>
        <row r="73">
          <cell r="A73" t="str">
            <v>ELC35</v>
          </cell>
          <cell r="B73" t="str">
            <v>VAR_fout</v>
          </cell>
          <cell r="C73" t="str">
            <v>SUP_WSTBIO</v>
          </cell>
          <cell r="E73">
            <v>0.1125885069931444</v>
          </cell>
          <cell r="F73">
            <v>0.1145860985721503</v>
          </cell>
          <cell r="G73">
            <v>0.10596963406904371</v>
          </cell>
          <cell r="H73">
            <v>0.13842308863540156</v>
          </cell>
          <cell r="I73">
            <v>0.1681621286144849</v>
          </cell>
          <cell r="J73">
            <v>0.19689512404054046</v>
          </cell>
        </row>
        <row r="74">
          <cell r="A74" t="str">
            <v>ELC35</v>
          </cell>
          <cell r="B74" t="str">
            <v>VAR_fout</v>
          </cell>
          <cell r="C74" t="str">
            <v>SUP_WODBIO</v>
          </cell>
          <cell r="F74">
            <v>4.156773245365398E-5</v>
          </cell>
          <cell r="G74">
            <v>1.8093096284303035E-5</v>
          </cell>
          <cell r="H74">
            <v>3.2165722457135054E-4</v>
          </cell>
          <cell r="I74">
            <v>3.8975212464839634E-2</v>
          </cell>
          <cell r="J74">
            <v>9.5731352387107635E-5</v>
          </cell>
        </row>
        <row r="75">
          <cell r="A75" t="str">
            <v>ELC35</v>
          </cell>
          <cell r="B75" t="str">
            <v>VAR_fout</v>
          </cell>
          <cell r="C75" t="str">
            <v>SUP_WODBIOCCS</v>
          </cell>
          <cell r="I75">
            <v>6.6339802506846189E-5</v>
          </cell>
          <cell r="J75">
            <v>6.1343753330101253E-2</v>
          </cell>
        </row>
        <row r="76">
          <cell r="A76" t="str">
            <v>ELC35</v>
          </cell>
          <cell r="B76" t="str">
            <v>VAR_fin</v>
          </cell>
          <cell r="C76" t="str">
            <v>D-CELC</v>
          </cell>
          <cell r="E76">
            <v>2.4119273795316287</v>
          </cell>
          <cell r="F76">
            <v>0.55532293892311146</v>
          </cell>
          <cell r="G76">
            <v>2.7114420251703923</v>
          </cell>
          <cell r="H76">
            <v>2.806713361518296</v>
          </cell>
          <cell r="I76">
            <v>17.50224654671953</v>
          </cell>
          <cell r="J76">
            <v>31.901991304957907</v>
          </cell>
        </row>
        <row r="77">
          <cell r="A77" t="str">
            <v>CO2_O</v>
          </cell>
          <cell r="B77" t="str">
            <v>VAR_fout</v>
          </cell>
          <cell r="C77" t="str">
            <v>SUP_WSTHTGBIOCCS</v>
          </cell>
          <cell r="I77">
            <v>2.0066568622909512E-2</v>
          </cell>
          <cell r="J77">
            <v>0.61559538156611837</v>
          </cell>
        </row>
        <row r="78">
          <cell r="A78" t="str">
            <v>CO2_O</v>
          </cell>
          <cell r="B78" t="str">
            <v>VAR_fout</v>
          </cell>
          <cell r="C78" t="str">
            <v>SUP_WODH2CCS</v>
          </cell>
          <cell r="J78">
            <v>971.30658976876987</v>
          </cell>
        </row>
        <row r="79">
          <cell r="A79" t="str">
            <v>CO2_O</v>
          </cell>
          <cell r="B79" t="str">
            <v>VAR_fout</v>
          </cell>
          <cell r="C79" t="str">
            <v>SUP_WODBIOCCS</v>
          </cell>
          <cell r="I79">
            <v>0.10217851590269025</v>
          </cell>
          <cell r="J79">
            <v>97.723808950709383</v>
          </cell>
        </row>
        <row r="80">
          <cell r="A80" t="str">
            <v>CO2_O</v>
          </cell>
          <cell r="B80" t="str">
            <v>VAR_fout</v>
          </cell>
          <cell r="C80" t="str">
            <v>SUP_NGAH2CCS</v>
          </cell>
          <cell r="J80">
            <v>4.6584237815019254E-2</v>
          </cell>
        </row>
        <row r="81">
          <cell r="A81" t="str">
            <v>CO2_O</v>
          </cell>
          <cell r="B81" t="str">
            <v>VAR_fout</v>
          </cell>
          <cell r="C81" t="str">
            <v>CT_CWODETHCCS</v>
          </cell>
          <cell r="I81">
            <v>6.4087003678660716E-3</v>
          </cell>
          <cell r="J81">
            <v>0.41147601375563914</v>
          </cell>
        </row>
        <row r="82">
          <cell r="A82" t="str">
            <v>CO2_O</v>
          </cell>
          <cell r="B82" t="str">
            <v>VAR_fout</v>
          </cell>
          <cell r="C82" t="str">
            <v>SUP_DAC</v>
          </cell>
          <cell r="I82">
            <v>1.4962731328082563E-2</v>
          </cell>
          <cell r="J82">
            <v>30.911494579844426</v>
          </cell>
        </row>
        <row r="83">
          <cell r="A83" t="str">
            <v>CO2_O</v>
          </cell>
          <cell r="B83" t="str">
            <v>VAR_fout</v>
          </cell>
          <cell r="C83" t="str">
            <v>CT_CWODBDSCCS</v>
          </cell>
          <cell r="I83">
            <v>0.37097351472682871</v>
          </cell>
          <cell r="J83">
            <v>604.36841083161164</v>
          </cell>
        </row>
        <row r="84">
          <cell r="A84" t="str">
            <v>SCH2S</v>
          </cell>
          <cell r="B84" t="str">
            <v>VAR_fin</v>
          </cell>
          <cell r="C84" t="str">
            <v>SUP_NGAH2</v>
          </cell>
          <cell r="J84">
            <v>1.9149825084798866E-4</v>
          </cell>
        </row>
        <row r="85">
          <cell r="A85" t="str">
            <v>SCH2S</v>
          </cell>
          <cell r="B85" t="str">
            <v>VAR_fin</v>
          </cell>
          <cell r="C85" t="str">
            <v>SUP_NGAH2CCS</v>
          </cell>
          <cell r="J85">
            <v>6.4035230082802E-4</v>
          </cell>
        </row>
        <row r="86">
          <cell r="A86" t="str">
            <v>CWST</v>
          </cell>
          <cell r="B86" t="str">
            <v>VAR_fout</v>
          </cell>
          <cell r="C86" t="str">
            <v>D-CWST</v>
          </cell>
          <cell r="E86">
            <v>9.6793947869249006</v>
          </cell>
          <cell r="F86">
            <v>9.8511305886742857</v>
          </cell>
          <cell r="G86">
            <v>9.1103608261072093</v>
          </cell>
          <cell r="H86">
            <v>11.900430677254938</v>
          </cell>
          <cell r="I86">
            <v>14.60164952802876</v>
          </cell>
          <cell r="J86">
            <v>17.096548755244182</v>
          </cell>
        </row>
        <row r="87">
          <cell r="A87" t="str">
            <v>CWST</v>
          </cell>
          <cell r="B87" t="str">
            <v>VAR_fin</v>
          </cell>
          <cell r="C87" t="str">
            <v>SUP_WSTHTGBIO</v>
          </cell>
          <cell r="I87">
            <v>0.14393104150373159</v>
          </cell>
          <cell r="J87">
            <v>0.14647689745926754</v>
          </cell>
        </row>
        <row r="88">
          <cell r="A88" t="str">
            <v>CWST</v>
          </cell>
          <cell r="B88" t="str">
            <v>VAR_fin</v>
          </cell>
          <cell r="C88" t="str">
            <v>SUP_WSTBIO</v>
          </cell>
          <cell r="E88">
            <v>9.6793947869249006</v>
          </cell>
          <cell r="F88">
            <v>9.8511305886742857</v>
          </cell>
          <cell r="G88">
            <v>9.1103608261072093</v>
          </cell>
          <cell r="H88">
            <v>11.900430677254938</v>
          </cell>
          <cell r="I88">
            <v>14.457138428599556</v>
          </cell>
          <cell r="J88">
            <v>16.927355092513888</v>
          </cell>
        </row>
        <row r="89">
          <cell r="A89" t="str">
            <v>CWST</v>
          </cell>
          <cell r="B89" t="str">
            <v>VAR_fin</v>
          </cell>
          <cell r="C89" t="str">
            <v>SUP_WSTHTGBIOCCS</v>
          </cell>
          <cell r="I89">
            <v>7.4563646785484312E-4</v>
          </cell>
          <cell r="J89">
            <v>2.2874382489823063E-2</v>
          </cell>
        </row>
        <row r="90">
          <cell r="A90" t="str">
            <v>NGA</v>
          </cell>
          <cell r="B90" t="str">
            <v>VAR_fout</v>
          </cell>
          <cell r="C90" t="str">
            <v>SUP_H2NGA</v>
          </cell>
          <cell r="I90">
            <v>10.643622770467598</v>
          </cell>
          <cell r="J90">
            <v>17.957977754978309</v>
          </cell>
        </row>
        <row r="91">
          <cell r="A91" t="str">
            <v>NGA</v>
          </cell>
          <cell r="B91" t="str">
            <v>VAR_fout</v>
          </cell>
          <cell r="C91" t="str">
            <v>D-LNGA</v>
          </cell>
          <cell r="H91">
            <v>4.5156240098559028E-3</v>
          </cell>
          <cell r="I91">
            <v>5.7961982407224175E-3</v>
          </cell>
          <cell r="J91">
            <v>4.1249991728141379E-5</v>
          </cell>
        </row>
        <row r="92">
          <cell r="A92" t="str">
            <v>NGA</v>
          </cell>
          <cell r="B92" t="str">
            <v>VAR_fin</v>
          </cell>
          <cell r="C92" t="str">
            <v>D-ENGA</v>
          </cell>
          <cell r="E92">
            <v>5.5512576466576595</v>
          </cell>
          <cell r="F92">
            <v>2.8748412261641234</v>
          </cell>
          <cell r="G92">
            <v>0.68652123871184556</v>
          </cell>
        </row>
        <row r="93">
          <cell r="A93" t="str">
            <v>NGA</v>
          </cell>
          <cell r="B93" t="str">
            <v>VAR_fin</v>
          </cell>
          <cell r="C93" t="str">
            <v>D-TNGA</v>
          </cell>
          <cell r="E93">
            <v>0.27843519674834738</v>
          </cell>
          <cell r="F93">
            <v>0.18036329164063936</v>
          </cell>
          <cell r="G93">
            <v>0.24289051861552785</v>
          </cell>
          <cell r="H93">
            <v>1.4268776125622619E-2</v>
          </cell>
          <cell r="I93">
            <v>6.5783385469002677E-3</v>
          </cell>
          <cell r="J93">
            <v>5.2901735261654253E-4</v>
          </cell>
        </row>
        <row r="94">
          <cell r="A94" t="str">
            <v>NGA</v>
          </cell>
          <cell r="B94" t="str">
            <v>VAR_fin</v>
          </cell>
          <cell r="C94" t="str">
            <v>D-SNGA</v>
          </cell>
          <cell r="E94">
            <v>27.032689210635073</v>
          </cell>
          <cell r="F94">
            <v>27.018612944278839</v>
          </cell>
          <cell r="G94">
            <v>23.219314455500079</v>
          </cell>
          <cell r="H94">
            <v>19.270665861603259</v>
          </cell>
          <cell r="I94">
            <v>9.7097015188235627</v>
          </cell>
          <cell r="J94">
            <v>4.901763183091667</v>
          </cell>
        </row>
        <row r="95">
          <cell r="A95" t="str">
            <v>NGA</v>
          </cell>
          <cell r="B95" t="str">
            <v>VAR_fin</v>
          </cell>
          <cell r="C95" t="str">
            <v>D-RNGA</v>
          </cell>
          <cell r="E95">
            <v>47.102338278088425</v>
          </cell>
          <cell r="F95">
            <v>46.555700347082336</v>
          </cell>
          <cell r="G95">
            <v>46.389629885485171</v>
          </cell>
          <cell r="H95">
            <v>38.045334093445334</v>
          </cell>
          <cell r="I95">
            <v>19.033524848271497</v>
          </cell>
          <cell r="J95">
            <v>11.518538310975808</v>
          </cell>
        </row>
        <row r="96">
          <cell r="A96" t="str">
            <v>NGA</v>
          </cell>
          <cell r="B96" t="str">
            <v>VAR_fin</v>
          </cell>
          <cell r="C96" t="str">
            <v>D-INGA</v>
          </cell>
          <cell r="E96">
            <v>37.282488217887249</v>
          </cell>
          <cell r="F96">
            <v>30.09030630606896</v>
          </cell>
          <cell r="G96">
            <v>28.463037397571053</v>
          </cell>
          <cell r="H96">
            <v>19.745889481151583</v>
          </cell>
          <cell r="I96">
            <v>3.4767471686449327</v>
          </cell>
          <cell r="J96">
            <v>1.5372608480056265</v>
          </cell>
        </row>
        <row r="97">
          <cell r="A97" t="str">
            <v>CO2</v>
          </cell>
          <cell r="B97" t="str">
            <v>VAR_fout</v>
          </cell>
          <cell r="C97" t="str">
            <v>D-ENGA</v>
          </cell>
          <cell r="E97">
            <v>313.09093127149202</v>
          </cell>
          <cell r="F97">
            <v>162.141045155657</v>
          </cell>
          <cell r="G97">
            <v>38.719797863348099</v>
          </cell>
        </row>
        <row r="98">
          <cell r="A98" t="str">
            <v>CO2</v>
          </cell>
          <cell r="B98" t="str">
            <v>VAR_fout</v>
          </cell>
          <cell r="C98" t="str">
            <v>D-ILFO</v>
          </cell>
          <cell r="E98">
            <v>690.33262529821604</v>
          </cell>
          <cell r="F98">
            <v>659.57743997114596</v>
          </cell>
          <cell r="G98">
            <v>599.68894110040605</v>
          </cell>
          <cell r="H98">
            <v>512.36136289772503</v>
          </cell>
          <cell r="I98">
            <v>215.03374990775799</v>
          </cell>
          <cell r="J98">
            <v>1.28846872122095E-3</v>
          </cell>
        </row>
        <row r="99">
          <cell r="A99" t="str">
            <v>CO2</v>
          </cell>
          <cell r="B99" t="str">
            <v>VAR_fout</v>
          </cell>
          <cell r="C99" t="str">
            <v>D-TNGA</v>
          </cell>
          <cell r="E99">
            <v>15.7037450966068</v>
          </cell>
          <cell r="F99">
            <v>10.1724896485321</v>
          </cell>
          <cell r="G99">
            <v>13.699025249915801</v>
          </cell>
          <cell r="H99">
            <v>0.80475897348511505</v>
          </cell>
          <cell r="I99">
            <v>0.371018294045175</v>
          </cell>
          <cell r="J99">
            <v>2.9836578687573001E-2</v>
          </cell>
        </row>
        <row r="100">
          <cell r="A100" t="str">
            <v>CO2</v>
          </cell>
          <cell r="B100" t="str">
            <v>VAR_fout</v>
          </cell>
          <cell r="C100" t="str">
            <v>D-SNGA</v>
          </cell>
          <cell r="E100">
            <v>1524.6436714798199</v>
          </cell>
          <cell r="F100">
            <v>1523.84977005733</v>
          </cell>
          <cell r="G100">
            <v>1309.5693352902099</v>
          </cell>
          <cell r="H100">
            <v>1086.86555459442</v>
          </cell>
          <cell r="I100">
            <v>547.62716566164897</v>
          </cell>
          <cell r="J100">
            <v>276.45944352637002</v>
          </cell>
        </row>
        <row r="101">
          <cell r="A101" t="str">
            <v>CO2</v>
          </cell>
          <cell r="B101" t="str">
            <v>VAR_fout</v>
          </cell>
          <cell r="C101" t="str">
            <v>D-RNGA</v>
          </cell>
          <cell r="E101">
            <v>2656.57187888419</v>
          </cell>
          <cell r="F101">
            <v>2625.7414995754498</v>
          </cell>
          <cell r="G101">
            <v>2616.3751255413599</v>
          </cell>
          <cell r="H101">
            <v>2145.7568428703198</v>
          </cell>
          <cell r="I101">
            <v>1073.49080144251</v>
          </cell>
          <cell r="J101">
            <v>649.645560739036</v>
          </cell>
        </row>
        <row r="102">
          <cell r="A102" t="str">
            <v>CO2</v>
          </cell>
          <cell r="B102" t="str">
            <v>VAR_fout</v>
          </cell>
          <cell r="C102" t="str">
            <v>SUP_WSTHTGBIOCCS</v>
          </cell>
          <cell r="I102">
            <v>-2.0066568622909502E-2</v>
          </cell>
          <cell r="J102">
            <v>-0.61559538156611904</v>
          </cell>
        </row>
        <row r="103">
          <cell r="A103" t="str">
            <v>CO2</v>
          </cell>
          <cell r="B103" t="str">
            <v>VAR_fout</v>
          </cell>
          <cell r="C103" t="str">
            <v>D-SLFO</v>
          </cell>
          <cell r="E103">
            <v>2267.7892388262599</v>
          </cell>
          <cell r="F103">
            <v>1985.17602565522</v>
          </cell>
          <cell r="G103">
            <v>1914.02849709921</v>
          </cell>
          <cell r="H103">
            <v>1131.0170553364401</v>
          </cell>
          <cell r="I103">
            <v>393.24795598200302</v>
          </cell>
          <cell r="J103">
            <v>1.2334483381066801E-3</v>
          </cell>
        </row>
        <row r="104">
          <cell r="A104" t="str">
            <v>CO2</v>
          </cell>
          <cell r="B104" t="str">
            <v>VAR_fout</v>
          </cell>
          <cell r="C104" t="str">
            <v>D-RLFO</v>
          </cell>
          <cell r="E104">
            <v>4514.4926719002497</v>
          </cell>
          <cell r="F104">
            <v>3846.5357873173102</v>
          </cell>
          <cell r="G104">
            <v>3621.76283956519</v>
          </cell>
          <cell r="H104">
            <v>1763.87940967084</v>
          </cell>
          <cell r="I104">
            <v>424.44931521743803</v>
          </cell>
          <cell r="J104">
            <v>1.52171408627514E-3</v>
          </cell>
        </row>
        <row r="105">
          <cell r="A105" t="str">
            <v>CO2</v>
          </cell>
          <cell r="B105" t="str">
            <v>VAR_fout</v>
          </cell>
          <cell r="C105" t="str">
            <v>D-TGSL</v>
          </cell>
          <cell r="E105">
            <v>5790.7985407467204</v>
          </cell>
          <cell r="F105">
            <v>5643.97419467481</v>
          </cell>
          <cell r="G105">
            <v>5383.0318838414596</v>
          </cell>
          <cell r="H105">
            <v>2820.1952380328398</v>
          </cell>
          <cell r="I105">
            <v>250.326084992348</v>
          </cell>
          <cell r="J105">
            <v>39.234334354510601</v>
          </cell>
        </row>
        <row r="106">
          <cell r="A106" t="str">
            <v>CO2</v>
          </cell>
          <cell r="B106" t="str">
            <v>VAR_fout</v>
          </cell>
          <cell r="C106" t="str">
            <v>SUP_WODH2CCS</v>
          </cell>
          <cell r="J106">
            <v>-971.30658976876896</v>
          </cell>
        </row>
        <row r="107">
          <cell r="A107" t="str">
            <v>CO2</v>
          </cell>
          <cell r="B107" t="str">
            <v>VAR_fout</v>
          </cell>
          <cell r="C107" t="str">
            <v>SUP_WODBIOCCS</v>
          </cell>
          <cell r="I107">
            <v>-0.10217851590269</v>
          </cell>
          <cell r="J107">
            <v>-97.723808950709397</v>
          </cell>
        </row>
        <row r="108">
          <cell r="A108" t="str">
            <v>CO2</v>
          </cell>
          <cell r="B108" t="str">
            <v>VAR_fout</v>
          </cell>
          <cell r="C108" t="str">
            <v>SUP_NGAH2CCS</v>
          </cell>
          <cell r="J108">
            <v>-4.6584237815019199E-2</v>
          </cell>
        </row>
        <row r="109">
          <cell r="A109" t="str">
            <v>CO2</v>
          </cell>
          <cell r="B109" t="str">
            <v>VAR_fout</v>
          </cell>
          <cell r="C109" t="str">
            <v>CT_CWODETHCCS</v>
          </cell>
          <cell r="I109">
            <v>-6.4087003678660699E-3</v>
          </cell>
          <cell r="J109">
            <v>-0.41147601375563903</v>
          </cell>
        </row>
        <row r="110">
          <cell r="A110" t="str">
            <v>CO2</v>
          </cell>
          <cell r="B110" t="str">
            <v>VAR_fout</v>
          </cell>
          <cell r="C110" t="str">
            <v>D-INGA</v>
          </cell>
          <cell r="E110">
            <v>2102.7323354888399</v>
          </cell>
          <cell r="F110">
            <v>1697.0932756622899</v>
          </cell>
          <cell r="G110">
            <v>1605.31530922301</v>
          </cell>
          <cell r="H110">
            <v>1113.6681667369501</v>
          </cell>
          <cell r="I110">
            <v>196.088540311575</v>
          </cell>
          <cell r="J110">
            <v>86.701511827517294</v>
          </cell>
        </row>
        <row r="111">
          <cell r="A111" t="str">
            <v>CO2</v>
          </cell>
          <cell r="B111" t="str">
            <v>VAR_fout</v>
          </cell>
          <cell r="C111" t="str">
            <v>SUP_DAC</v>
          </cell>
          <cell r="I111">
            <v>-1.4962731328082599E-2</v>
          </cell>
          <cell r="J111">
            <v>-30.911494579844401</v>
          </cell>
        </row>
        <row r="112">
          <cell r="A112" t="str">
            <v>CO2</v>
          </cell>
          <cell r="B112" t="str">
            <v>VAR_fout</v>
          </cell>
          <cell r="C112" t="str">
            <v>CT_CWODBDSCCS</v>
          </cell>
          <cell r="I112">
            <v>-0.37097351472682899</v>
          </cell>
          <cell r="J112">
            <v>-604.36841083161198</v>
          </cell>
        </row>
        <row r="113">
          <cell r="A113" t="str">
            <v>ENGA</v>
          </cell>
          <cell r="B113" t="str">
            <v>VAR_fout</v>
          </cell>
          <cell r="C113" t="str">
            <v>D-ENGA</v>
          </cell>
          <cell r="E113">
            <v>5.743697804112295</v>
          </cell>
          <cell r="F113">
            <v>2.8662448451457556</v>
          </cell>
          <cell r="G113">
            <v>0.69215096297444556</v>
          </cell>
          <cell r="I113">
            <v>1.3963979229276866E-4</v>
          </cell>
          <cell r="J113">
            <v>7.3845031518756359E-3</v>
          </cell>
        </row>
        <row r="114">
          <cell r="A114" t="str">
            <v>ILFO</v>
          </cell>
          <cell r="B114" t="str">
            <v>VAR_fout</v>
          </cell>
          <cell r="C114" t="str">
            <v>D-ILFO</v>
          </cell>
          <cell r="E114">
            <v>9.2103563900306753</v>
          </cell>
          <cell r="F114">
            <v>8.8000234471520518</v>
          </cell>
          <cell r="G114">
            <v>8.001228623462838</v>
          </cell>
          <cell r="H114">
            <v>7.071686569927917</v>
          </cell>
          <cell r="I114">
            <v>3.1047394755245863</v>
          </cell>
          <cell r="J114">
            <v>0.23579733869122654</v>
          </cell>
        </row>
        <row r="115">
          <cell r="A115" t="str">
            <v>CHEAT</v>
          </cell>
          <cell r="B115" t="str">
            <v>VAR_fout</v>
          </cell>
          <cell r="C115" t="str">
            <v>D-CHEAT</v>
          </cell>
          <cell r="I115">
            <v>4.2402452206491276E-3</v>
          </cell>
          <cell r="J115">
            <v>0.21241359238562407</v>
          </cell>
        </row>
        <row r="116">
          <cell r="A116" t="str">
            <v>CHEAT</v>
          </cell>
          <cell r="B116" t="str">
            <v>VAR_fin</v>
          </cell>
          <cell r="C116" t="str">
            <v>SUP_ELCH2_SOEC</v>
          </cell>
          <cell r="I116">
            <v>4.1407553218512526E-3</v>
          </cell>
          <cell r="J116">
            <v>1.5390820375074764E-2</v>
          </cell>
        </row>
        <row r="117">
          <cell r="A117" t="str">
            <v>CHEAT</v>
          </cell>
          <cell r="B117" t="str">
            <v>VAR_fin</v>
          </cell>
          <cell r="C117" t="str">
            <v>SUP_DAC</v>
          </cell>
          <cell r="I117">
            <v>9.9489898797873593E-5</v>
          </cell>
          <cell r="J117">
            <v>0.19702277201054946</v>
          </cell>
        </row>
        <row r="118">
          <cell r="A118" t="str">
            <v>EH2</v>
          </cell>
          <cell r="B118" t="str">
            <v>VAR_fout</v>
          </cell>
          <cell r="C118" t="str">
            <v>D-ENGA</v>
          </cell>
          <cell r="I118">
            <v>3.9618653830539575E-5</v>
          </cell>
          <cell r="J118">
            <v>1.7862703742402104E-4</v>
          </cell>
        </row>
        <row r="119">
          <cell r="A119" t="str">
            <v>TDSL</v>
          </cell>
          <cell r="B119" t="str">
            <v>VAR_fout</v>
          </cell>
          <cell r="C119" t="str">
            <v>D-TBDS1</v>
          </cell>
          <cell r="E119">
            <v>2.9709563469350053</v>
          </cell>
          <cell r="F119">
            <v>2.9711619991631779</v>
          </cell>
          <cell r="G119">
            <v>4.4616620512363996</v>
          </cell>
          <cell r="H119">
            <v>2.978432666943359</v>
          </cell>
          <cell r="I119">
            <v>3.4924545215946936</v>
          </cell>
          <cell r="J119">
            <v>8.1659252821354222</v>
          </cell>
        </row>
        <row r="120">
          <cell r="A120" t="str">
            <v>CNGA</v>
          </cell>
          <cell r="B120" t="str">
            <v>VAR_fout</v>
          </cell>
          <cell r="C120" t="str">
            <v>D-CNGA</v>
          </cell>
          <cell r="J120">
            <v>1.1800181954889552E-3</v>
          </cell>
        </row>
        <row r="121">
          <cell r="A121" t="str">
            <v>CNGA</v>
          </cell>
          <cell r="B121" t="str">
            <v>VAR_fin</v>
          </cell>
          <cell r="C121" t="str">
            <v>SUP_NGAH2</v>
          </cell>
          <cell r="J121">
            <v>2.5197138269472213E-4</v>
          </cell>
        </row>
        <row r="122">
          <cell r="A122" t="str">
            <v>CNGA</v>
          </cell>
          <cell r="B122" t="str">
            <v>VAR_fin</v>
          </cell>
          <cell r="C122" t="str">
            <v>SUP_NGAH2CCS</v>
          </cell>
          <cell r="J122">
            <v>9.2804681279423141E-4</v>
          </cell>
        </row>
        <row r="123">
          <cell r="A123" t="str">
            <v>LBIO</v>
          </cell>
          <cell r="B123" t="str">
            <v>VAR_fin</v>
          </cell>
          <cell r="C123" t="str">
            <v>D-LBIO</v>
          </cell>
          <cell r="H123">
            <v>7.6151834165782875E-4</v>
          </cell>
          <cell r="I123">
            <v>9.5380703005286339E-4</v>
          </cell>
          <cell r="J123">
            <v>3.5857625545111145E-5</v>
          </cell>
        </row>
        <row r="124">
          <cell r="A124" t="str">
            <v>H2_E</v>
          </cell>
          <cell r="B124" t="str">
            <v>VAR_fout</v>
          </cell>
          <cell r="C124" t="str">
            <v>SUP_ELCH2_D</v>
          </cell>
          <cell r="H124">
            <v>2.6309319565592609E-2</v>
          </cell>
          <cell r="I124">
            <v>12.649739978132168</v>
          </cell>
          <cell r="J124">
            <v>29.382989195779846</v>
          </cell>
        </row>
        <row r="125">
          <cell r="A125" t="str">
            <v>H2_E</v>
          </cell>
          <cell r="B125" t="str">
            <v>VAR_fin</v>
          </cell>
          <cell r="C125" t="str">
            <v>D-DH2</v>
          </cell>
          <cell r="H125">
            <v>2.6309319565592609E-2</v>
          </cell>
          <cell r="I125">
            <v>12.649739978132168</v>
          </cell>
          <cell r="J125">
            <v>29.382989195779849</v>
          </cell>
        </row>
        <row r="126">
          <cell r="A126" t="str">
            <v>BNGA</v>
          </cell>
          <cell r="B126" t="str">
            <v>VAR_fout</v>
          </cell>
          <cell r="C126" t="str">
            <v>SUP_BIONGA</v>
          </cell>
          <cell r="E126">
            <v>1.1764865211904751</v>
          </cell>
          <cell r="F126">
            <v>3.4636763576010816</v>
          </cell>
          <cell r="G126">
            <v>3.4636812236548553</v>
          </cell>
          <cell r="H126">
            <v>5.0433954856691292</v>
          </cell>
          <cell r="I126">
            <v>7.9585916077884979</v>
          </cell>
          <cell r="J126">
            <v>9.2510986308907093</v>
          </cell>
        </row>
        <row r="127">
          <cell r="A127" t="str">
            <v>BNGA</v>
          </cell>
          <cell r="B127" t="str">
            <v>VAR_fin</v>
          </cell>
          <cell r="C127" t="str">
            <v>D-ENGA</v>
          </cell>
          <cell r="E127">
            <v>0.21078908696756249</v>
          </cell>
          <cell r="F127">
            <v>6.6644833695292871E-4</v>
          </cell>
          <cell r="G127">
            <v>7.8493607260033058E-3</v>
          </cell>
          <cell r="I127">
            <v>1.1374701724496679E-4</v>
          </cell>
          <cell r="J127">
            <v>7.3608734488646559E-3</v>
          </cell>
        </row>
        <row r="128">
          <cell r="A128" t="str">
            <v>BNGA</v>
          </cell>
          <cell r="B128" t="str">
            <v>VAR_fin</v>
          </cell>
          <cell r="C128" t="str">
            <v>D-CNGA</v>
          </cell>
          <cell r="J128">
            <v>1.1837879047305335E-3</v>
          </cell>
        </row>
        <row r="129">
          <cell r="A129" t="str">
            <v>BNGA</v>
          </cell>
          <cell r="B129" t="str">
            <v>VAR_fin</v>
          </cell>
          <cell r="C129" t="str">
            <v>D-TNGA</v>
          </cell>
          <cell r="E129">
            <v>2.2973068317992524E-2</v>
          </cell>
          <cell r="F129">
            <v>1.9218045309760512E-2</v>
          </cell>
          <cell r="G129">
            <v>2.5270581089434911E-2</v>
          </cell>
          <cell r="H129">
            <v>2.8374040237511013E-3</v>
          </cell>
          <cell r="I129">
            <v>2.5190837845310817E-3</v>
          </cell>
          <cell r="J129">
            <v>5.1419191005367087E-4</v>
          </cell>
        </row>
        <row r="130">
          <cell r="A130" t="str">
            <v>BNGA</v>
          </cell>
          <cell r="B130" t="str">
            <v>VAR_fin</v>
          </cell>
          <cell r="C130" t="str">
            <v>D-SNGA</v>
          </cell>
          <cell r="E130">
            <v>0.30577084935075477</v>
          </cell>
          <cell r="F130">
            <v>1.5618357709242383</v>
          </cell>
          <cell r="G130">
            <v>1.040314545069114</v>
          </cell>
          <cell r="H130">
            <v>1.0623689908707095</v>
          </cell>
          <cell r="I130">
            <v>1.8866601381381731</v>
          </cell>
          <cell r="J130">
            <v>2.6769537929189551</v>
          </cell>
        </row>
        <row r="131">
          <cell r="A131" t="str">
            <v>BNGA</v>
          </cell>
          <cell r="B131" t="str">
            <v>VAR_fin</v>
          </cell>
          <cell r="C131" t="str">
            <v>D-RNGA</v>
          </cell>
          <cell r="E131">
            <v>0.30978107773988661</v>
          </cell>
          <cell r="F131">
            <v>1.8816111306440719</v>
          </cell>
          <cell r="G131">
            <v>1.2939597348483509</v>
          </cell>
          <cell r="H131">
            <v>1.5394782816008974</v>
          </cell>
          <cell r="I131">
            <v>3.6309080936934204</v>
          </cell>
          <cell r="J131">
            <v>4.1025930628518674</v>
          </cell>
        </row>
        <row r="132">
          <cell r="A132" t="str">
            <v>BNGA</v>
          </cell>
          <cell r="B132" t="str">
            <v>VAR_fin</v>
          </cell>
          <cell r="C132" t="str">
            <v>D-INGA</v>
          </cell>
          <cell r="E132">
            <v>0.32725538112089314</v>
          </cell>
          <cell r="F132">
            <v>6.9648348315104946E-4</v>
          </cell>
          <cell r="G132">
            <v>1.0965535491114422</v>
          </cell>
          <cell r="H132">
            <v>2.4389992206746638</v>
          </cell>
          <cell r="I132">
            <v>2.4390041953893684</v>
          </cell>
          <cell r="J132">
            <v>2.4638677176943804</v>
          </cell>
        </row>
        <row r="133">
          <cell r="A133" t="str">
            <v>LFO</v>
          </cell>
          <cell r="B133" t="str">
            <v>VAR_fin</v>
          </cell>
          <cell r="C133" t="str">
            <v>D-ILFO</v>
          </cell>
          <cell r="E133">
            <v>9.3667927448875954</v>
          </cell>
          <cell r="F133">
            <v>8.9494903659585674</v>
          </cell>
          <cell r="G133">
            <v>8.1368920095034838</v>
          </cell>
          <cell r="H133">
            <v>6.9519859280559713</v>
          </cell>
          <cell r="I133">
            <v>2.9176899580428506</v>
          </cell>
          <cell r="J133">
            <v>1.7482614941939651E-5</v>
          </cell>
        </row>
        <row r="134">
          <cell r="A134" t="str">
            <v>LFO</v>
          </cell>
          <cell r="B134" t="str">
            <v>VAR_fin</v>
          </cell>
          <cell r="C134" t="str">
            <v>D-SLFO</v>
          </cell>
          <cell r="E134">
            <v>30.770545981360417</v>
          </cell>
          <cell r="F134">
            <v>26.935902654751942</v>
          </cell>
          <cell r="G134">
            <v>25.970535917221294</v>
          </cell>
          <cell r="H134">
            <v>15.346228701987028</v>
          </cell>
          <cell r="I134">
            <v>5.3357931612212139</v>
          </cell>
          <cell r="J134">
            <v>1.6736069716508557E-5</v>
          </cell>
        </row>
        <row r="135">
          <cell r="A135" t="str">
            <v>LFO</v>
          </cell>
          <cell r="B135" t="str">
            <v>VAR_fin</v>
          </cell>
          <cell r="C135" t="str">
            <v>D-RLFO</v>
          </cell>
          <cell r="E135">
            <v>61.254988763911079</v>
          </cell>
          <cell r="F135">
            <v>52.191801727507574</v>
          </cell>
          <cell r="G135">
            <v>49.14196525868639</v>
          </cell>
          <cell r="H135">
            <v>23.933234866632809</v>
          </cell>
          <cell r="I135">
            <v>5.7591494602094713</v>
          </cell>
          <cell r="J135">
            <v>2.0647409583109037E-5</v>
          </cell>
        </row>
        <row r="136">
          <cell r="A136" t="str">
            <v>MNR</v>
          </cell>
          <cell r="B136" t="str">
            <v>VAR_fin</v>
          </cell>
          <cell r="C136" t="str">
            <v>SUP_MNRBIO</v>
          </cell>
          <cell r="E136">
            <v>3.7981374165030539</v>
          </cell>
          <cell r="F136">
            <v>12.540429534987217</v>
          </cell>
          <cell r="G136">
            <v>12.540446857717637</v>
          </cell>
          <cell r="H136">
            <v>12.540468355927601</v>
          </cell>
          <cell r="I136">
            <v>17.360275078529266</v>
          </cell>
          <cell r="J136">
            <v>18.829754855565341</v>
          </cell>
        </row>
        <row r="137">
          <cell r="A137" t="str">
            <v>TNGA</v>
          </cell>
          <cell r="B137" t="str">
            <v>VAR_fout</v>
          </cell>
          <cell r="C137" t="str">
            <v>D-TNGA</v>
          </cell>
          <cell r="E137">
            <v>0.30044989220444357</v>
          </cell>
          <cell r="F137">
            <v>0.20107795816862062</v>
          </cell>
          <cell r="G137">
            <v>0.26963879897093279</v>
          </cell>
          <cell r="H137">
            <v>1.7512103293006336E-2</v>
          </cell>
          <cell r="I137">
            <v>9.2773140544037177E-3</v>
          </cell>
          <cell r="J137">
            <v>1.1048018982018413E-3</v>
          </cell>
        </row>
        <row r="138">
          <cell r="A138" t="str">
            <v>WOD</v>
          </cell>
          <cell r="B138" t="str">
            <v>VAR_fin</v>
          </cell>
          <cell r="C138" t="str">
            <v>D-CWOD</v>
          </cell>
          <cell r="E138">
            <v>10.565876083449417</v>
          </cell>
          <cell r="F138">
            <v>12.316544473817009</v>
          </cell>
          <cell r="G138">
            <v>9.0945972733307094</v>
          </cell>
          <cell r="H138">
            <v>8.900073855590513</v>
          </cell>
          <cell r="I138">
            <v>20.703913855962533</v>
          </cell>
          <cell r="J138">
            <v>31.662668787732169</v>
          </cell>
        </row>
        <row r="139">
          <cell r="A139" t="str">
            <v>GSL</v>
          </cell>
          <cell r="B139" t="str">
            <v>VAR_fout</v>
          </cell>
          <cell r="C139" t="str">
            <v>SUP_H2GSL</v>
          </cell>
          <cell r="I139">
            <v>0.71571187165295869</v>
          </cell>
          <cell r="J139">
            <v>0.53163054680908584</v>
          </cell>
        </row>
        <row r="140">
          <cell r="A140" t="str">
            <v>GSL</v>
          </cell>
          <cell r="B140" t="str">
            <v>VAR_fin</v>
          </cell>
          <cell r="C140" t="str">
            <v>D-TGSL</v>
          </cell>
          <cell r="E140">
            <v>78.466104888166868</v>
          </cell>
          <cell r="F140">
            <v>76.476615103994703</v>
          </cell>
          <cell r="G140">
            <v>72.940811434166065</v>
          </cell>
          <cell r="H140">
            <v>38.214027615621234</v>
          </cell>
          <cell r="I140">
            <v>3.3919523711700204</v>
          </cell>
          <cell r="J140">
            <v>0.53163054680908584</v>
          </cell>
        </row>
        <row r="141">
          <cell r="A141" t="str">
            <v>IBIO</v>
          </cell>
          <cell r="B141" t="str">
            <v>VAR_fout</v>
          </cell>
          <cell r="C141" t="str">
            <v>D-IBIO</v>
          </cell>
          <cell r="E141">
            <v>0.43680293390407765</v>
          </cell>
          <cell r="F141">
            <v>0.55208447861884991</v>
          </cell>
          <cell r="G141">
            <v>1.6569961487048186</v>
          </cell>
          <cell r="H141">
            <v>2.0881754422262904</v>
          </cell>
          <cell r="I141">
            <v>2.0883822462650889</v>
          </cell>
          <cell r="J141">
            <v>2.0884117568615412</v>
          </cell>
        </row>
        <row r="142">
          <cell r="A142" t="str">
            <v>SNGA</v>
          </cell>
          <cell r="B142" t="str">
            <v>VAR_fout</v>
          </cell>
          <cell r="C142" t="str">
            <v>D-SNGA</v>
          </cell>
          <cell r="E142">
            <v>27.251402196726016</v>
          </cell>
          <cell r="F142">
            <v>28.489435805525869</v>
          </cell>
          <cell r="G142">
            <v>24.18237551007881</v>
          </cell>
          <cell r="H142">
            <v>20.268141228577171</v>
          </cell>
          <cell r="I142">
            <v>11.559288934682064</v>
          </cell>
          <cell r="J142">
            <v>7.5540655320508323</v>
          </cell>
        </row>
        <row r="143">
          <cell r="A143" t="str">
            <v>AUX_H2STG_IN</v>
          </cell>
          <cell r="B143" t="str">
            <v>VAR_fin</v>
          </cell>
          <cell r="C143" t="str">
            <v>STG-H2</v>
          </cell>
          <cell r="H143">
            <v>4.7969220286093865E-5</v>
          </cell>
          <cell r="I143">
            <v>1.4348928947440805E-4</v>
          </cell>
          <cell r="J143">
            <v>1.3361535522089484E-4</v>
          </cell>
        </row>
        <row r="144">
          <cell r="A144" t="str">
            <v>AUX_H2STG_IN</v>
          </cell>
          <cell r="B144" t="str">
            <v>VAR_fin</v>
          </cell>
          <cell r="C144" t="str">
            <v>STG-H2</v>
          </cell>
          <cell r="H144">
            <v>1.8736627168945011E-4</v>
          </cell>
          <cell r="I144">
            <v>1.2102251204376497</v>
          </cell>
          <cell r="J144">
            <v>1.4340512759270105</v>
          </cell>
        </row>
        <row r="145">
          <cell r="A145" t="str">
            <v>AUX_H2STG_IN</v>
          </cell>
          <cell r="B145" t="str">
            <v>VAR_fin</v>
          </cell>
          <cell r="C145" t="str">
            <v>STG-H2</v>
          </cell>
          <cell r="H145">
            <v>3.9432914587066858E-5</v>
          </cell>
          <cell r="I145">
            <v>5.5569891301698425E-5</v>
          </cell>
          <cell r="J145">
            <v>5.2253876015168326E-5</v>
          </cell>
        </row>
        <row r="146">
          <cell r="A146" t="str">
            <v>AUX_H2STG_IN</v>
          </cell>
          <cell r="B146" t="str">
            <v>VAR_fin</v>
          </cell>
          <cell r="C146" t="str">
            <v>STG-H2</v>
          </cell>
          <cell r="H146">
            <v>4.224092206665426E-5</v>
          </cell>
          <cell r="I146">
            <v>1.5068461650415382E-4</v>
          </cell>
          <cell r="J146">
            <v>1.2946940389648359E-4</v>
          </cell>
        </row>
        <row r="147">
          <cell r="A147" t="str">
            <v>AUX_H2STG_IN</v>
          </cell>
          <cell r="B147" t="str">
            <v>VAR_fin</v>
          </cell>
          <cell r="C147" t="str">
            <v>STG-H2</v>
          </cell>
          <cell r="H147">
            <v>5.7723214749634853E-5</v>
          </cell>
          <cell r="I147">
            <v>1.209875376640368</v>
          </cell>
          <cell r="J147">
            <v>1.4337359372918779</v>
          </cell>
        </row>
        <row r="148">
          <cell r="A148" t="str">
            <v>H2</v>
          </cell>
          <cell r="B148" t="str">
            <v>VAR_fout</v>
          </cell>
          <cell r="C148" t="str">
            <v>SUP_NGAH2</v>
          </cell>
          <cell r="J148">
            <v>1.9149825084798866E-4</v>
          </cell>
        </row>
        <row r="149">
          <cell r="A149" t="str">
            <v>H2</v>
          </cell>
          <cell r="B149" t="str">
            <v>VAR_fout</v>
          </cell>
          <cell r="C149" t="str">
            <v>STG-H2</v>
          </cell>
          <cell r="H149">
            <v>4.7020393461589794E-5</v>
          </cell>
          <cell r="I149">
            <v>1.4286151684794187E-4</v>
          </cell>
          <cell r="J149">
            <v>1.3279037608223665E-4</v>
          </cell>
        </row>
        <row r="150">
          <cell r="A150" t="str">
            <v>H2</v>
          </cell>
          <cell r="B150" t="str">
            <v>VAR_fout</v>
          </cell>
          <cell r="C150" t="str">
            <v>STG-H2</v>
          </cell>
          <cell r="H150">
            <v>1.8548866982280021E-4</v>
          </cell>
          <cell r="I150">
            <v>1.1981235957770646</v>
          </cell>
          <cell r="J150">
            <v>1.4197118465016421</v>
          </cell>
        </row>
        <row r="151">
          <cell r="A151" t="str">
            <v>H2</v>
          </cell>
          <cell r="B151" t="str">
            <v>VAR_fout</v>
          </cell>
          <cell r="C151" t="str">
            <v>STG-H2</v>
          </cell>
          <cell r="H151">
            <v>5.7081205459948884E-5</v>
          </cell>
          <cell r="I151">
            <v>1.1976797289509216</v>
          </cell>
          <cell r="J151">
            <v>1.4193388668138351</v>
          </cell>
        </row>
        <row r="152">
          <cell r="A152" t="str">
            <v>H2</v>
          </cell>
          <cell r="B152" t="str">
            <v>VAR_fout</v>
          </cell>
          <cell r="C152" t="str">
            <v>STG-H2</v>
          </cell>
          <cell r="H152">
            <v>4.2252739972967044E-5</v>
          </cell>
          <cell r="I152">
            <v>1.5292604278255881E-4</v>
          </cell>
          <cell r="J152">
            <v>1.3272658878793215E-4</v>
          </cell>
        </row>
        <row r="153">
          <cell r="A153" t="str">
            <v>H2</v>
          </cell>
          <cell r="B153" t="str">
            <v>VAR_fout</v>
          </cell>
          <cell r="C153" t="str">
            <v>STG-H2</v>
          </cell>
          <cell r="H153">
            <v>3.9134330928294142E-5</v>
          </cell>
          <cell r="I153">
            <v>1.4807926651197527E-4</v>
          </cell>
          <cell r="J153">
            <v>1.0746272293838028E-4</v>
          </cell>
        </row>
        <row r="154">
          <cell r="A154" t="str">
            <v>H2</v>
          </cell>
          <cell r="B154" t="str">
            <v>VAR_fout</v>
          </cell>
          <cell r="C154" t="str">
            <v>IMPH2</v>
          </cell>
          <cell r="I154">
            <v>4.5999749174174653E-5</v>
          </cell>
          <cell r="J154">
            <v>4.5330844822732328E-5</v>
          </cell>
        </row>
        <row r="155">
          <cell r="A155" t="str">
            <v>H2</v>
          </cell>
          <cell r="B155" t="str">
            <v>VAR_fout</v>
          </cell>
          <cell r="C155" t="str">
            <v>SUP_WODH2</v>
          </cell>
          <cell r="H155">
            <v>1.8058792148730474E-4</v>
          </cell>
          <cell r="I155">
            <v>5.6853355630079978</v>
          </cell>
          <cell r="J155">
            <v>0.9973813646359514</v>
          </cell>
        </row>
        <row r="156">
          <cell r="A156" t="str">
            <v>H2</v>
          </cell>
          <cell r="B156" t="str">
            <v>VAR_fout</v>
          </cell>
          <cell r="C156" t="str">
            <v>SUP_ELCH2_SOEC</v>
          </cell>
          <cell r="I156">
            <v>2.7711208692389119E-2</v>
          </cell>
          <cell r="J156">
            <v>0.1385173833756729</v>
          </cell>
        </row>
        <row r="157">
          <cell r="A157" t="str">
            <v>H2</v>
          </cell>
          <cell r="B157" t="str">
            <v>VAR_fout</v>
          </cell>
          <cell r="C157" t="str">
            <v>SUP_WODH2CCS</v>
          </cell>
          <cell r="J157">
            <v>5.5888672823996499</v>
          </cell>
        </row>
        <row r="158">
          <cell r="A158" t="str">
            <v>H2</v>
          </cell>
          <cell r="B158" t="str">
            <v>VAR_fout</v>
          </cell>
          <cell r="C158" t="str">
            <v>SUP_NGAH2CCS</v>
          </cell>
          <cell r="J158">
            <v>6.4035230082802E-4</v>
          </cell>
        </row>
        <row r="159">
          <cell r="A159" t="str">
            <v>H2</v>
          </cell>
          <cell r="B159" t="str">
            <v>VAR_fout</v>
          </cell>
          <cell r="C159" t="str">
            <v>SUP_ELCH2</v>
          </cell>
          <cell r="E159">
            <v>4.1720028877363083E-3</v>
          </cell>
          <cell r="F159">
            <v>7.0518731168543866E-3</v>
          </cell>
          <cell r="G159">
            <v>7.2979184769940125E-3</v>
          </cell>
          <cell r="H159">
            <v>4.2214065407807878E-3</v>
          </cell>
          <cell r="I159">
            <v>13.225361229905644</v>
          </cell>
          <cell r="J159">
            <v>25.197010202798577</v>
          </cell>
        </row>
        <row r="160">
          <cell r="A160" t="str">
            <v>H2</v>
          </cell>
          <cell r="B160" t="str">
            <v>VAR_fout</v>
          </cell>
          <cell r="C160" t="str">
            <v>D-DH2</v>
          </cell>
          <cell r="H160">
            <v>2.6046226369936695E-2</v>
          </cell>
          <cell r="I160">
            <v>12.523242578350846</v>
          </cell>
          <cell r="J160">
            <v>29.089159303822051</v>
          </cell>
        </row>
        <row r="161">
          <cell r="A161" t="str">
            <v>H2</v>
          </cell>
          <cell r="B161" t="str">
            <v>VAR_fin</v>
          </cell>
          <cell r="C161" t="str">
            <v>STG-H2</v>
          </cell>
          <cell r="H161">
            <v>4.7969220286093865E-5</v>
          </cell>
          <cell r="I161">
            <v>1.4348928947440805E-4</v>
          </cell>
          <cell r="J161">
            <v>1.3361535522089484E-4</v>
          </cell>
        </row>
        <row r="162">
          <cell r="A162" t="str">
            <v>H2</v>
          </cell>
          <cell r="B162" t="str">
            <v>VAR_fin</v>
          </cell>
          <cell r="C162" t="str">
            <v>STG-H2</v>
          </cell>
          <cell r="H162">
            <v>1.8736627168945011E-4</v>
          </cell>
          <cell r="I162">
            <v>1.2102251204376497</v>
          </cell>
          <cell r="J162">
            <v>1.4340512759270105</v>
          </cell>
        </row>
        <row r="163">
          <cell r="A163" t="str">
            <v>H2</v>
          </cell>
          <cell r="B163" t="str">
            <v>VAR_fin</v>
          </cell>
          <cell r="C163" t="str">
            <v>STG-H2</v>
          </cell>
          <cell r="H163">
            <v>3.9432914587066858E-5</v>
          </cell>
          <cell r="I163">
            <v>5.5569891301698425E-5</v>
          </cell>
          <cell r="J163">
            <v>5.2253876015168326E-5</v>
          </cell>
        </row>
        <row r="164">
          <cell r="A164" t="str">
            <v>H2</v>
          </cell>
          <cell r="B164" t="str">
            <v>VAR_fin</v>
          </cell>
          <cell r="C164" t="str">
            <v>STG-H2</v>
          </cell>
          <cell r="H164">
            <v>4.224092206665426E-5</v>
          </cell>
          <cell r="I164">
            <v>1.5068461650415382E-4</v>
          </cell>
          <cell r="J164">
            <v>1.2946940389648359E-4</v>
          </cell>
        </row>
        <row r="165">
          <cell r="A165" t="str">
            <v>H2</v>
          </cell>
          <cell r="B165" t="str">
            <v>VAR_fin</v>
          </cell>
          <cell r="C165" t="str">
            <v>STG-H2</v>
          </cell>
          <cell r="H165">
            <v>5.7723214749634853E-5</v>
          </cell>
          <cell r="I165">
            <v>1.209875376640368</v>
          </cell>
          <cell r="J165">
            <v>1.4337359372918779</v>
          </cell>
        </row>
        <row r="166">
          <cell r="A166" t="str">
            <v>H2</v>
          </cell>
          <cell r="B166" t="str">
            <v>VAR_fin</v>
          </cell>
          <cell r="C166" t="str">
            <v>SUP_H2NGA</v>
          </cell>
          <cell r="I166">
            <v>13.822886714893</v>
          </cell>
          <cell r="J166">
            <v>23.322049032439384</v>
          </cell>
        </row>
        <row r="167">
          <cell r="A167" t="str">
            <v>H2</v>
          </cell>
          <cell r="B167" t="str">
            <v>VAR_fin</v>
          </cell>
          <cell r="C167" t="str">
            <v>D-ENGA</v>
          </cell>
          <cell r="I167">
            <v>7.0685746304159034E-6</v>
          </cell>
          <cell r="J167">
            <v>1.5592504504170131E-4</v>
          </cell>
        </row>
        <row r="168">
          <cell r="A168" t="str">
            <v>H2</v>
          </cell>
          <cell r="B168" t="str">
            <v>VAR_fin</v>
          </cell>
          <cell r="C168" t="str">
            <v>D-TNGA</v>
          </cell>
          <cell r="F168">
            <v>2.1380182139738749E-3</v>
          </cell>
          <cell r="G168">
            <v>2.3377911287161984E-3</v>
          </cell>
          <cell r="H168">
            <v>4.6166761158738222E-4</v>
          </cell>
          <cell r="I168">
            <v>2.0948443127988012E-4</v>
          </cell>
          <cell r="J168">
            <v>6.8206316111320392E-5</v>
          </cell>
        </row>
        <row r="169">
          <cell r="A169" t="str">
            <v>H2</v>
          </cell>
          <cell r="B169" t="str">
            <v>VAR_fin</v>
          </cell>
          <cell r="C169" t="str">
            <v>SUP_H2GSL</v>
          </cell>
          <cell r="I169">
            <v>1.0224455309327991</v>
          </cell>
          <cell r="J169">
            <v>0.7594722097272667</v>
          </cell>
        </row>
        <row r="170">
          <cell r="A170" t="str">
            <v>H2</v>
          </cell>
          <cell r="B170" t="str">
            <v>VAR_fin</v>
          </cell>
          <cell r="C170" t="str">
            <v>D-SNGA</v>
          </cell>
          <cell r="H170">
            <v>1.2242712545203658E-2</v>
          </cell>
          <cell r="I170">
            <v>1.4543124743076726E-2</v>
          </cell>
          <cell r="J170">
            <v>1.8079650543988556E-3</v>
          </cell>
        </row>
        <row r="171">
          <cell r="A171" t="str">
            <v>H2</v>
          </cell>
          <cell r="B171" t="str">
            <v>VAR_fin</v>
          </cell>
          <cell r="C171" t="str">
            <v>D-RNGA</v>
          </cell>
          <cell r="H171">
            <v>1.3843714873653032E-2</v>
          </cell>
          <cell r="I171">
            <v>3.5483115973850628E-2</v>
          </cell>
          <cell r="J171">
            <v>5.0862510578014997E-3</v>
          </cell>
        </row>
        <row r="172">
          <cell r="A172" t="str">
            <v>H2</v>
          </cell>
          <cell r="B172" t="str">
            <v>VAR_fin</v>
          </cell>
          <cell r="C172" t="str">
            <v>D-INGA</v>
          </cell>
          <cell r="I172">
            <v>0.18277679223112911</v>
          </cell>
          <cell r="J172">
            <v>0.1236821526335746</v>
          </cell>
        </row>
        <row r="173">
          <cell r="A173" t="str">
            <v>H2</v>
          </cell>
          <cell r="B173" t="str">
            <v>VAR_fin</v>
          </cell>
          <cell r="C173" t="str">
            <v>SUP_H2DSL</v>
          </cell>
          <cell r="I173">
            <v>2.5239028886574165E-2</v>
          </cell>
          <cell r="J173">
            <v>15.025007785388834</v>
          </cell>
        </row>
        <row r="174">
          <cell r="A174" t="str">
            <v>AUX_H2STG_OUT</v>
          </cell>
          <cell r="B174" t="str">
            <v>VAR_fout</v>
          </cell>
          <cell r="C174" t="str">
            <v>STG-H2</v>
          </cell>
          <cell r="H174">
            <v>4.7020393461589794E-5</v>
          </cell>
          <cell r="I174">
            <v>1.4286151684794187E-4</v>
          </cell>
          <cell r="J174">
            <v>1.3279037608223665E-4</v>
          </cell>
        </row>
        <row r="175">
          <cell r="A175" t="str">
            <v>AUX_H2STG_OUT</v>
          </cell>
          <cell r="B175" t="str">
            <v>VAR_fout</v>
          </cell>
          <cell r="C175" t="str">
            <v>STG-H2</v>
          </cell>
          <cell r="H175">
            <v>1.8548866982280026E-4</v>
          </cell>
          <cell r="I175">
            <v>1.1981235957770646</v>
          </cell>
          <cell r="J175">
            <v>1.4197118465016421</v>
          </cell>
        </row>
        <row r="176">
          <cell r="A176" t="str">
            <v>AUX_H2STG_OUT</v>
          </cell>
          <cell r="B176" t="str">
            <v>VAR_fout</v>
          </cell>
          <cell r="C176" t="str">
            <v>STG-H2</v>
          </cell>
          <cell r="H176">
            <v>5.7081205459948884E-5</v>
          </cell>
          <cell r="I176">
            <v>1.1976797289509216</v>
          </cell>
          <cell r="J176">
            <v>1.4193388668138351</v>
          </cell>
        </row>
        <row r="177">
          <cell r="A177" t="str">
            <v>AUX_H2STG_OUT</v>
          </cell>
          <cell r="B177" t="str">
            <v>VAR_fout</v>
          </cell>
          <cell r="C177" t="str">
            <v>STG-H2</v>
          </cell>
          <cell r="H177">
            <v>4.2252739972967112E-5</v>
          </cell>
          <cell r="I177">
            <v>1.5292604278255881E-4</v>
          </cell>
          <cell r="J177">
            <v>1.3272658878793215E-4</v>
          </cell>
        </row>
        <row r="178">
          <cell r="A178" t="str">
            <v>AUX_H2STG_OUT</v>
          </cell>
          <cell r="B178" t="str">
            <v>VAR_fout</v>
          </cell>
          <cell r="C178" t="str">
            <v>STG-H2</v>
          </cell>
          <cell r="H178">
            <v>3.9134330928294142E-5</v>
          </cell>
          <cell r="I178">
            <v>1.4807926651197554E-4</v>
          </cell>
          <cell r="J178">
            <v>1.0746272293838028E-4</v>
          </cell>
        </row>
        <row r="179">
          <cell r="A179" t="str">
            <v>RNGA</v>
          </cell>
          <cell r="B179" t="str">
            <v>VAR_fout</v>
          </cell>
          <cell r="C179" t="str">
            <v>D-RNGA</v>
          </cell>
          <cell r="E179">
            <v>47.261137998623802</v>
          </cell>
          <cell r="F179">
            <v>48.283065451064765</v>
          </cell>
          <cell r="G179">
            <v>47.531743780597211</v>
          </cell>
          <cell r="H179">
            <v>39.458577483976285</v>
          </cell>
          <cell r="I179">
            <v>22.592027729819872</v>
          </cell>
          <cell r="J179">
            <v>15.57083850702357</v>
          </cell>
        </row>
        <row r="180">
          <cell r="A180" t="str">
            <v>CWOD</v>
          </cell>
          <cell r="B180" t="str">
            <v>VAR_fout</v>
          </cell>
          <cell r="C180" t="str">
            <v>D-CWOD</v>
          </cell>
          <cell r="E180">
            <v>10.565876083449417</v>
          </cell>
          <cell r="F180">
            <v>12.316544473817009</v>
          </cell>
          <cell r="G180">
            <v>9.0945972733307094</v>
          </cell>
          <cell r="H180">
            <v>8.900073855590513</v>
          </cell>
          <cell r="I180">
            <v>20.703913855962533</v>
          </cell>
          <cell r="J180">
            <v>31.662668787732169</v>
          </cell>
        </row>
        <row r="181">
          <cell r="A181" t="str">
            <v>CWOD</v>
          </cell>
          <cell r="B181" t="str">
            <v>VAR_fin</v>
          </cell>
          <cell r="C181" t="str">
            <v>SUP_WODH2</v>
          </cell>
          <cell r="H181">
            <v>3.0097986914550832E-4</v>
          </cell>
          <cell r="I181">
            <v>9.4755592716799981</v>
          </cell>
          <cell r="J181">
            <v>1.6623022743932527</v>
          </cell>
        </row>
        <row r="182">
          <cell r="A182" t="str">
            <v>CWOD</v>
          </cell>
          <cell r="B182" t="str">
            <v>VAR_fin</v>
          </cell>
          <cell r="C182" t="str">
            <v>SUP_WODBIO</v>
          </cell>
          <cell r="F182">
            <v>1.4029109703108185E-3</v>
          </cell>
          <cell r="G182">
            <v>6.1064199959522678E-4</v>
          </cell>
          <cell r="H182">
            <v>1.0855931329283064E-2</v>
          </cell>
          <cell r="I182">
            <v>1.3154134206883374</v>
          </cell>
          <cell r="J182">
            <v>3.2309331430648786E-3</v>
          </cell>
        </row>
        <row r="183">
          <cell r="A183" t="str">
            <v>CWOD</v>
          </cell>
          <cell r="B183" t="str">
            <v>VAR_fin</v>
          </cell>
          <cell r="C183" t="str">
            <v>SUP_WODH2CCS</v>
          </cell>
          <cell r="J183">
            <v>9.6359780731028479</v>
          </cell>
        </row>
        <row r="184">
          <cell r="A184" t="str">
            <v>CWOD</v>
          </cell>
          <cell r="B184" t="str">
            <v>VAR_fin</v>
          </cell>
          <cell r="C184" t="str">
            <v>SUP_WODBIOCCS</v>
          </cell>
          <cell r="I184">
            <v>2.383982578060257E-3</v>
          </cell>
          <cell r="J184">
            <v>2.2961308934633653</v>
          </cell>
        </row>
        <row r="185">
          <cell r="A185" t="str">
            <v>CWOD</v>
          </cell>
          <cell r="B185" t="str">
            <v>VAR_fin</v>
          </cell>
          <cell r="C185" t="str">
            <v>CT_CWODBDS</v>
          </cell>
          <cell r="E185">
            <v>0.39332220256641126</v>
          </cell>
          <cell r="F185">
            <v>3.4296986953034057</v>
          </cell>
          <cell r="G185">
            <v>3.4277213820218182</v>
          </cell>
          <cell r="H185">
            <v>2.7187867400230186</v>
          </cell>
          <cell r="I185">
            <v>6.7050568612616077</v>
          </cell>
          <cell r="J185">
            <v>5.3415240648811499</v>
          </cell>
        </row>
        <row r="186">
          <cell r="A186" t="str">
            <v>CWOD</v>
          </cell>
          <cell r="B186" t="str">
            <v>VAR_fin</v>
          </cell>
          <cell r="C186" t="str">
            <v>CT_CWODETHCCS</v>
          </cell>
          <cell r="I186">
            <v>4.0871813570574441E-4</v>
          </cell>
          <cell r="J186">
            <v>2.6242092714007594E-2</v>
          </cell>
        </row>
        <row r="187">
          <cell r="A187" t="str">
            <v>CWOD</v>
          </cell>
          <cell r="B187" t="str">
            <v>VAR_fin</v>
          </cell>
          <cell r="C187" t="str">
            <v>CT_CWODPLT</v>
          </cell>
          <cell r="E187">
            <v>7.1188043641630614</v>
          </cell>
          <cell r="F187">
            <v>8.297298324176035</v>
          </cell>
          <cell r="G187">
            <v>2.3305182189898161</v>
          </cell>
          <cell r="H187">
            <v>2.6851587598873379</v>
          </cell>
          <cell r="I187">
            <v>3.1985237558703412</v>
          </cell>
          <cell r="J187">
            <v>3.0598466938315365</v>
          </cell>
        </row>
        <row r="188">
          <cell r="A188" t="str">
            <v>CWOD</v>
          </cell>
          <cell r="B188" t="str">
            <v>VAR_fin</v>
          </cell>
          <cell r="C188" t="str">
            <v>CT_CWODETH</v>
          </cell>
          <cell r="E188">
            <v>3.0537495167199404</v>
          </cell>
          <cell r="F188">
            <v>0.5881445433672583</v>
          </cell>
          <cell r="G188">
            <v>3.3357470303194794</v>
          </cell>
          <cell r="H188">
            <v>3.484971444481725</v>
          </cell>
          <cell r="I188">
            <v>6.530894549973506E-4</v>
          </cell>
          <cell r="J188">
            <v>1.4378241989281687E-3</v>
          </cell>
        </row>
        <row r="189">
          <cell r="A189" t="str">
            <v>CWOD</v>
          </cell>
          <cell r="B189" t="str">
            <v>VAR_fin</v>
          </cell>
          <cell r="C189" t="str">
            <v>CT_CWODBDSCCS</v>
          </cell>
          <cell r="I189">
            <v>5.9147562934762175E-3</v>
          </cell>
          <cell r="J189">
            <v>9.6359759380040177</v>
          </cell>
        </row>
        <row r="190">
          <cell r="A190" t="str">
            <v>KER</v>
          </cell>
          <cell r="B190" t="str">
            <v>VAR_fout</v>
          </cell>
          <cell r="C190" t="str">
            <v>SUP_H2DSL</v>
          </cell>
          <cell r="I190">
            <v>1.2930010358734752E-3</v>
          </cell>
          <cell r="J190">
            <v>1.9609395111155861E-6</v>
          </cell>
        </row>
        <row r="191">
          <cell r="A191" t="str">
            <v>BDS</v>
          </cell>
          <cell r="B191" t="str">
            <v>VAR_fout</v>
          </cell>
          <cell r="C191" t="str">
            <v>IMPBDS</v>
          </cell>
          <cell r="E191">
            <v>2.8772619344778949</v>
          </cell>
          <cell r="F191">
            <v>1.8120741236159641</v>
          </cell>
          <cell r="G191">
            <v>3.3314785464623751</v>
          </cell>
          <cell r="H191">
            <v>2.3296445277400792</v>
          </cell>
          <cell r="I191">
            <v>1.4758421914005306</v>
          </cell>
          <cell r="J191">
            <v>5.8810796345919147</v>
          </cell>
        </row>
        <row r="192">
          <cell r="A192" t="str">
            <v>BDS</v>
          </cell>
          <cell r="B192" t="str">
            <v>VAR_fout</v>
          </cell>
          <cell r="C192" t="str">
            <v>CT_CWODBDS</v>
          </cell>
          <cell r="E192">
            <v>0.13803200651567352</v>
          </cell>
          <cell r="F192">
            <v>1.2036142113716122</v>
          </cell>
          <cell r="G192">
            <v>1.2029202954980946</v>
          </cell>
          <cell r="H192">
            <v>0.95412765047307246</v>
          </cell>
          <cell r="I192">
            <v>2.3530643485739993</v>
          </cell>
          <cell r="J192">
            <v>1.8745478381755225</v>
          </cell>
        </row>
        <row r="193">
          <cell r="A193" t="str">
            <v>BDS</v>
          </cell>
          <cell r="B193" t="str">
            <v>VAR_fout</v>
          </cell>
          <cell r="C193" t="str">
            <v>CT_CWODBDSCCS</v>
          </cell>
          <cell r="I193">
            <v>2.0757172463506668E-3</v>
          </cell>
          <cell r="J193">
            <v>3.3816374585029019</v>
          </cell>
        </row>
        <row r="194">
          <cell r="A194" t="str">
            <v>BDS</v>
          </cell>
          <cell r="B194" t="str">
            <v>VAR_fin</v>
          </cell>
          <cell r="C194" t="str">
            <v>D-ILFO</v>
          </cell>
          <cell r="G194">
            <v>2.3613697739633546E-4</v>
          </cell>
          <cell r="H194">
            <v>0.23981642040029447</v>
          </cell>
          <cell r="I194">
            <v>0.23982308568273117</v>
          </cell>
          <cell r="J194">
            <v>0.23982752188347337</v>
          </cell>
        </row>
        <row r="195">
          <cell r="A195" t="str">
            <v>BDS</v>
          </cell>
          <cell r="B195" t="str">
            <v>VAR_fin</v>
          </cell>
          <cell r="C195" t="str">
            <v>D-SLFO</v>
          </cell>
          <cell r="G195">
            <v>2.3291680520304907E-4</v>
          </cell>
          <cell r="H195">
            <v>1.4107104604283453E-3</v>
          </cell>
          <cell r="I195">
            <v>2.4257495888040741E-3</v>
          </cell>
          <cell r="J195">
            <v>0.40067223909006022</v>
          </cell>
        </row>
        <row r="196">
          <cell r="A196" t="str">
            <v>BDS</v>
          </cell>
          <cell r="B196" t="str">
            <v>VAR_fin</v>
          </cell>
          <cell r="C196" t="str">
            <v>D-RLFO</v>
          </cell>
          <cell r="G196">
            <v>2.3307827803430923E-4</v>
          </cell>
          <cell r="H196">
            <v>1.4206396629816186E-3</v>
          </cell>
          <cell r="I196">
            <v>2.4417444278971774E-3</v>
          </cell>
          <cell r="J196">
            <v>0.49309388904467211</v>
          </cell>
        </row>
        <row r="197">
          <cell r="A197" t="str">
            <v>BDS</v>
          </cell>
          <cell r="B197" t="str">
            <v>VAR_fin</v>
          </cell>
          <cell r="C197" t="str">
            <v>D-TBDS1</v>
          </cell>
          <cell r="E197">
            <v>3.0152939409935708</v>
          </cell>
          <cell r="F197">
            <v>3.0156883349875749</v>
          </cell>
          <cell r="G197">
            <v>4.5337430996535231</v>
          </cell>
          <cell r="H197">
            <v>3.0411637259173876</v>
          </cell>
          <cell r="I197">
            <v>3.5863248345857617</v>
          </cell>
          <cell r="J197">
            <v>10.003713301814722</v>
          </cell>
        </row>
        <row r="198">
          <cell r="A198" t="str">
            <v>BIO</v>
          </cell>
          <cell r="B198" t="str">
            <v>VAR_fout</v>
          </cell>
          <cell r="C198" t="str">
            <v>SUP_WSTHTGBIO</v>
          </cell>
          <cell r="I198">
            <v>0.10075172905261215</v>
          </cell>
          <cell r="J198">
            <v>0.10253382822148722</v>
          </cell>
        </row>
        <row r="199">
          <cell r="A199" t="str">
            <v>BIO</v>
          </cell>
          <cell r="B199" t="str">
            <v>VAR_fout</v>
          </cell>
          <cell r="C199" t="str">
            <v>SUP_WSTBIO</v>
          </cell>
          <cell r="E199">
            <v>5.6294253496572164</v>
          </cell>
          <cell r="F199">
            <v>5.7293049286075135</v>
          </cell>
          <cell r="G199">
            <v>5.2984817034521816</v>
          </cell>
          <cell r="H199">
            <v>6.9211544317700699</v>
          </cell>
          <cell r="I199">
            <v>8.4081064307242386</v>
          </cell>
          <cell r="J199">
            <v>9.8447562020270265</v>
          </cell>
        </row>
        <row r="200">
          <cell r="A200" t="str">
            <v>BIO</v>
          </cell>
          <cell r="B200" t="str">
            <v>VAR_fout</v>
          </cell>
          <cell r="C200" t="str">
            <v>D-LBIO</v>
          </cell>
          <cell r="H200">
            <v>7.6151834165782875E-4</v>
          </cell>
          <cell r="I200">
            <v>9.5380703005286339E-4</v>
          </cell>
          <cell r="J200">
            <v>3.5857625545111145E-5</v>
          </cell>
        </row>
        <row r="201">
          <cell r="A201" t="str">
            <v>BIO</v>
          </cell>
          <cell r="B201" t="str">
            <v>VAR_fout</v>
          </cell>
          <cell r="C201" t="str">
            <v>SUP_MNRBIO</v>
          </cell>
          <cell r="E201">
            <v>1.32802007570037</v>
          </cell>
          <cell r="F201">
            <v>4.3847655716738618</v>
          </cell>
          <cell r="G201">
            <v>4.3847716285726008</v>
          </cell>
          <cell r="H201">
            <v>4.3847791454292375</v>
          </cell>
          <cell r="I201">
            <v>6.0700262512340153</v>
          </cell>
          <cell r="J201">
            <v>6.583830369078786</v>
          </cell>
        </row>
        <row r="202">
          <cell r="A202" t="str">
            <v>BIO</v>
          </cell>
          <cell r="B202" t="str">
            <v>VAR_fout</v>
          </cell>
          <cell r="C202" t="str">
            <v>SUP_WSTHTGBIOCCS</v>
          </cell>
          <cell r="I202">
            <v>4.6975097474855076E-4</v>
          </cell>
          <cell r="J202">
            <v>1.4410860968588544E-2</v>
          </cell>
        </row>
        <row r="203">
          <cell r="A203" t="str">
            <v>BIO</v>
          </cell>
          <cell r="B203" t="str">
            <v>VAR_fout</v>
          </cell>
          <cell r="C203" t="str">
            <v>SUP_WODBIO</v>
          </cell>
          <cell r="F203">
            <v>1.0391933113413465E-3</v>
          </cell>
          <cell r="G203">
            <v>4.5232740710757501E-4</v>
          </cell>
          <cell r="H203">
            <v>8.0414306142837493E-3</v>
          </cell>
          <cell r="I203">
            <v>0.97438031162098937</v>
          </cell>
          <cell r="J203">
            <v>2.3932838096776864E-3</v>
          </cell>
        </row>
        <row r="204">
          <cell r="A204" t="str">
            <v>BIO</v>
          </cell>
          <cell r="B204" t="str">
            <v>VAR_fout</v>
          </cell>
          <cell r="C204" t="str">
            <v>SUP_WODBIOCCS</v>
          </cell>
          <cell r="I204">
            <v>1.5986966539438836E-3</v>
          </cell>
          <cell r="J204">
            <v>1.5335458798955859</v>
          </cell>
        </row>
        <row r="205">
          <cell r="A205" t="str">
            <v>BIO</v>
          </cell>
          <cell r="B205" t="str">
            <v>VAR_fin</v>
          </cell>
          <cell r="C205" t="str">
            <v>D-IBIO</v>
          </cell>
          <cell r="E205">
            <v>0.43680293390407765</v>
          </cell>
          <cell r="F205">
            <v>0.55208447861884991</v>
          </cell>
          <cell r="G205">
            <v>1.6569961487048186</v>
          </cell>
          <cell r="H205">
            <v>2.0881754422262904</v>
          </cell>
          <cell r="I205">
            <v>2.0883822462650889</v>
          </cell>
          <cell r="J205">
            <v>2.0884117568615412</v>
          </cell>
        </row>
        <row r="206">
          <cell r="A206" t="str">
            <v>BIO</v>
          </cell>
          <cell r="B206" t="str">
            <v>VAR_fin</v>
          </cell>
          <cell r="C206" t="str">
            <v>D-EBIO</v>
          </cell>
          <cell r="E206">
            <v>1.1840229589538735</v>
          </cell>
          <cell r="F206">
            <v>1.1839651491832015</v>
          </cell>
          <cell r="G206">
            <v>1.1839685960860244</v>
          </cell>
          <cell r="H206">
            <v>1.1839681939553308</v>
          </cell>
          <cell r="I206">
            <v>2.1446144418657873</v>
          </cell>
          <cell r="J206">
            <v>2.8674917522537022</v>
          </cell>
        </row>
        <row r="207">
          <cell r="A207" t="str">
            <v>BIO</v>
          </cell>
          <cell r="B207" t="str">
            <v>VAR_fin</v>
          </cell>
          <cell r="C207" t="str">
            <v>D-CBIO</v>
          </cell>
          <cell r="E207">
            <v>1.2890876172062371</v>
          </cell>
          <cell r="F207">
            <v>3.7951835589884095</v>
          </cell>
          <cell r="G207">
            <v>3.7951888907704099</v>
          </cell>
          <cell r="H207">
            <v>5.5260970288645863</v>
          </cell>
          <cell r="I207">
            <v>8.7203055090000809</v>
          </cell>
          <cell r="J207">
            <v>10.136517908056893</v>
          </cell>
        </row>
        <row r="208">
          <cell r="A208" t="str">
            <v>BIO</v>
          </cell>
          <cell r="B208" t="str">
            <v>VAR_fin</v>
          </cell>
          <cell r="C208" t="str">
            <v>D-SBIO</v>
          </cell>
          <cell r="E208">
            <v>4.0477231290520583</v>
          </cell>
          <cell r="F208">
            <v>4.584380308835553</v>
          </cell>
          <cell r="G208">
            <v>3.0479949188832305</v>
          </cell>
          <cell r="H208">
            <v>3.0329002079491518</v>
          </cell>
          <cell r="I208">
            <v>2.9504900244446941</v>
          </cell>
          <cell r="J208">
            <v>2.8933256683265012</v>
          </cell>
        </row>
        <row r="209">
          <cell r="A209" t="str">
            <v>TKERintl_SAF</v>
          </cell>
          <cell r="B209" t="str">
            <v>VAR_fout</v>
          </cell>
          <cell r="C209" t="str">
            <v>D-TBDS1intl</v>
          </cell>
          <cell r="H209">
            <v>4.2083157035022296</v>
          </cell>
          <cell r="I209">
            <v>25.380683485443299</v>
          </cell>
          <cell r="J209">
            <v>63.901843643334999</v>
          </cell>
        </row>
        <row r="210">
          <cell r="A210" t="str">
            <v>EBIO</v>
          </cell>
          <cell r="B210" t="str">
            <v>VAR_fout</v>
          </cell>
          <cell r="C210" t="str">
            <v>D-EBIO</v>
          </cell>
          <cell r="E210">
            <v>1.1840229589538735</v>
          </cell>
          <cell r="F210">
            <v>1.1839651491832015</v>
          </cell>
          <cell r="G210">
            <v>1.1839685960860244</v>
          </cell>
          <cell r="H210">
            <v>1.1839681939553308</v>
          </cell>
          <cell r="I210">
            <v>2.1446144418657873</v>
          </cell>
          <cell r="J210">
            <v>2.8674917522537022</v>
          </cell>
        </row>
        <row r="211">
          <cell r="A211" t="str">
            <v>PLT</v>
          </cell>
          <cell r="B211" t="str">
            <v>VAR_fout</v>
          </cell>
          <cell r="C211" t="str">
            <v>CT_CWODPLT</v>
          </cell>
          <cell r="E211">
            <v>5.9797956658969671</v>
          </cell>
          <cell r="F211">
            <v>6.969730592307867</v>
          </cell>
          <cell r="G211">
            <v>1.9576353039514438</v>
          </cell>
          <cell r="H211">
            <v>2.2555333583053634</v>
          </cell>
          <cell r="I211">
            <v>2.6867599549310879</v>
          </cell>
          <cell r="J211">
            <v>2.5702712228184885</v>
          </cell>
        </row>
        <row r="212">
          <cell r="A212" t="str">
            <v>SLFO</v>
          </cell>
          <cell r="B212" t="str">
            <v>VAR_fout</v>
          </cell>
          <cell r="C212" t="str">
            <v>D-SLFO</v>
          </cell>
          <cell r="E212">
            <v>30.256642003618616</v>
          </cell>
          <cell r="F212">
            <v>26.486041689440217</v>
          </cell>
          <cell r="G212">
            <v>25.537028548543876</v>
          </cell>
          <cell r="H212">
            <v>15.091313013443793</v>
          </cell>
          <cell r="I212">
            <v>5.249055409020043</v>
          </cell>
          <cell r="J212">
            <v>0.39399026521064545</v>
          </cell>
        </row>
        <row r="213">
          <cell r="A213" t="str">
            <v>ETH</v>
          </cell>
          <cell r="B213" t="str">
            <v>VAR_fout</v>
          </cell>
          <cell r="C213" t="str">
            <v>IMPETH</v>
          </cell>
          <cell r="E213">
            <v>3.0828793892936579</v>
          </cell>
          <cell r="F213">
            <v>4.1475990156912266</v>
          </cell>
          <cell r="G213">
            <v>2.6282391971465437</v>
          </cell>
          <cell r="H213">
            <v>3.1134281497913165</v>
          </cell>
          <cell r="I213">
            <v>4.0882628064009152</v>
          </cell>
          <cell r="J213">
            <v>7.8928227247275592E-2</v>
          </cell>
        </row>
        <row r="214">
          <cell r="A214" t="str">
            <v>ETH</v>
          </cell>
          <cell r="B214" t="str">
            <v>VAR_fout</v>
          </cell>
          <cell r="C214" t="str">
            <v>CT_CWODETHCCS</v>
          </cell>
          <cell r="I214">
            <v>1.9555891660561931E-4</v>
          </cell>
          <cell r="J214">
            <v>1.2556025222013205E-2</v>
          </cell>
        </row>
        <row r="215">
          <cell r="A215" t="str">
            <v>ETH</v>
          </cell>
          <cell r="B215" t="str">
            <v>VAR_fout</v>
          </cell>
          <cell r="C215" t="str">
            <v>CT_CWODETH</v>
          </cell>
          <cell r="E215">
            <v>1.4611241706793983</v>
          </cell>
          <cell r="F215">
            <v>0.2814088724245255</v>
          </cell>
          <cell r="G215">
            <v>1.5960512106791773</v>
          </cell>
          <cell r="H215">
            <v>1.6674504519051325</v>
          </cell>
          <cell r="I215">
            <v>3.1248299282169903E-4</v>
          </cell>
          <cell r="J215">
            <v>6.8795416216658903E-4</v>
          </cell>
        </row>
        <row r="216">
          <cell r="A216" t="str">
            <v>ETH</v>
          </cell>
          <cell r="B216" t="str">
            <v>VAR_fin</v>
          </cell>
          <cell r="C216" t="str">
            <v>D-TGSL</v>
          </cell>
          <cell r="E216">
            <v>4.5440035599730519</v>
          </cell>
          <cell r="F216">
            <v>4.4290078881157493</v>
          </cell>
          <cell r="G216">
            <v>4.224290407825718</v>
          </cell>
          <cell r="H216">
            <v>4.7808786016964477</v>
          </cell>
          <cell r="I216">
            <v>4.0887708483103404</v>
          </cell>
          <cell r="J216">
            <v>9.217220663145527E-2</v>
          </cell>
        </row>
        <row r="217">
          <cell r="A217" t="str">
            <v>TGSL</v>
          </cell>
          <cell r="B217" t="str">
            <v>VAR_fout</v>
          </cell>
          <cell r="C217" t="str">
            <v>D-TGSL</v>
          </cell>
          <cell r="E217">
            <v>81.790182695160297</v>
          </cell>
          <cell r="F217">
            <v>79.716625483388214</v>
          </cell>
          <cell r="G217">
            <v>76.03107542383573</v>
          </cell>
          <cell r="H217">
            <v>42.363043711214949</v>
          </cell>
          <cell r="I217">
            <v>7.3707857275921826</v>
          </cell>
          <cell r="J217">
            <v>0.61461045890608001</v>
          </cell>
        </row>
        <row r="218">
          <cell r="A218" t="str">
            <v>RLFO</v>
          </cell>
          <cell r="B218" t="str">
            <v>VAR_fout</v>
          </cell>
          <cell r="C218" t="str">
            <v>D-RLFO</v>
          </cell>
          <cell r="E218">
            <v>60.231959065270878</v>
          </cell>
          <cell r="F218">
            <v>51.320137814571943</v>
          </cell>
          <cell r="G218">
            <v>48.321466439055861</v>
          </cell>
          <cell r="H218">
            <v>23.534918690563643</v>
          </cell>
          <cell r="I218">
            <v>5.6653650586620712</v>
          </cell>
          <cell r="J218">
            <v>0.48487863026767175</v>
          </cell>
        </row>
        <row r="219">
          <cell r="A219" t="str">
            <v>CELC_E</v>
          </cell>
          <cell r="B219" t="str">
            <v>VAR_fout</v>
          </cell>
          <cell r="C219" t="str">
            <v>ESOL-PV_E</v>
          </cell>
          <cell r="H219">
            <v>3.6040163788483022E-2</v>
          </cell>
          <cell r="I219">
            <v>16.322245133073757</v>
          </cell>
          <cell r="J219">
            <v>35.832913653390044</v>
          </cell>
        </row>
        <row r="220">
          <cell r="A220" t="str">
            <v>CELC_E</v>
          </cell>
          <cell r="B220" t="str">
            <v>VAR_fin</v>
          </cell>
          <cell r="C220" t="str">
            <v>SUP_ELCH2_D</v>
          </cell>
          <cell r="H220">
            <v>3.6040163788483022E-2</v>
          </cell>
          <cell r="I220">
            <v>16.322245133073757</v>
          </cell>
          <cell r="J220">
            <v>35.832913653390044</v>
          </cell>
        </row>
        <row r="221">
          <cell r="A221" t="str">
            <v>CBIO</v>
          </cell>
          <cell r="B221" t="str">
            <v>VAR_fout</v>
          </cell>
          <cell r="C221" t="str">
            <v>D-CBIO</v>
          </cell>
          <cell r="E221">
            <v>1.2890876172062371</v>
          </cell>
          <cell r="F221">
            <v>3.7951835589884095</v>
          </cell>
          <cell r="G221">
            <v>3.7951888907704099</v>
          </cell>
          <cell r="H221">
            <v>5.5260970288645863</v>
          </cell>
          <cell r="I221">
            <v>8.7203055090000809</v>
          </cell>
          <cell r="J221">
            <v>10.136517908056893</v>
          </cell>
        </row>
        <row r="222">
          <cell r="A222" t="str">
            <v>CBIO</v>
          </cell>
          <cell r="B222" t="str">
            <v>VAR_fin</v>
          </cell>
          <cell r="C222" t="str">
            <v>SUP_BIONGA</v>
          </cell>
          <cell r="E222">
            <v>1.2890876172062371</v>
          </cell>
          <cell r="F222">
            <v>3.7951835589884095</v>
          </cell>
          <cell r="G222">
            <v>3.7951888907704099</v>
          </cell>
          <cell r="H222">
            <v>5.5260970288645863</v>
          </cell>
          <cell r="I222">
            <v>8.7203055090000809</v>
          </cell>
          <cell r="J222">
            <v>10.136517908056893</v>
          </cell>
        </row>
        <row r="223">
          <cell r="A223" t="str">
            <v>RSH2</v>
          </cell>
          <cell r="B223" t="str">
            <v>VAR_fout</v>
          </cell>
          <cell r="C223" t="str">
            <v>D-SNGA</v>
          </cell>
          <cell r="H223">
            <v>1.2244572860975392E-2</v>
          </cell>
          <cell r="I223">
            <v>1.4565699508629773E-2</v>
          </cell>
          <cell r="J223">
            <v>1.8279181564090391E-3</v>
          </cell>
        </row>
        <row r="224">
          <cell r="A224" t="str">
            <v>RSH2</v>
          </cell>
          <cell r="B224" t="str">
            <v>VAR_fout</v>
          </cell>
          <cell r="C224" t="str">
            <v>D-RNGA</v>
          </cell>
          <cell r="H224">
            <v>1.3846060625595662E-2</v>
          </cell>
          <cell r="I224">
            <v>3.5502949079095812E-2</v>
          </cell>
          <cell r="J224">
            <v>5.0965989217334638E-3</v>
          </cell>
        </row>
        <row r="225">
          <cell r="A225" t="str">
            <v>LTH</v>
          </cell>
          <cell r="B225" t="str">
            <v>VAR_fout</v>
          </cell>
          <cell r="C225" t="str">
            <v>SUP_WODBIO</v>
          </cell>
          <cell r="F225">
            <v>1.2470319736096157E-4</v>
          </cell>
          <cell r="G225">
            <v>5.4279288852909012E-5</v>
          </cell>
          <cell r="H225">
            <v>9.6497167371405092E-4</v>
          </cell>
          <cell r="I225">
            <v>0.11692563739451876</v>
          </cell>
          <cell r="J225">
            <v>2.8719405716132239E-4</v>
          </cell>
        </row>
        <row r="226">
          <cell r="A226" t="str">
            <v>LTH</v>
          </cell>
          <cell r="B226" t="str">
            <v>VAR_fout</v>
          </cell>
          <cell r="C226" t="str">
            <v>SUP_WODBIOCCS</v>
          </cell>
          <cell r="I226">
            <v>1.9497254675846743E-4</v>
          </cell>
          <cell r="J226">
            <v>0.18402800783029521</v>
          </cell>
        </row>
        <row r="227">
          <cell r="A227" t="str">
            <v>LTH</v>
          </cell>
          <cell r="B227" t="str">
            <v>VAR_fout</v>
          </cell>
          <cell r="C227" t="str">
            <v>CT_CWODBDS</v>
          </cell>
          <cell r="E227">
            <v>5.3832482541112607E-2</v>
          </cell>
          <cell r="F227">
            <v>0.4694095424349275</v>
          </cell>
          <cell r="G227">
            <v>0.46913891524425599</v>
          </cell>
          <cell r="H227">
            <v>0.37210978368449743</v>
          </cell>
          <cell r="I227">
            <v>0.91769509594385867</v>
          </cell>
          <cell r="J227">
            <v>0.73107365688845227</v>
          </cell>
        </row>
        <row r="228">
          <cell r="A228" t="str">
            <v>LTH</v>
          </cell>
          <cell r="B228" t="str">
            <v>VAR_fout</v>
          </cell>
          <cell r="C228" t="str">
            <v>CT_CWODBDSCCS</v>
          </cell>
          <cell r="I228">
            <v>8.0952972607675863E-4</v>
          </cell>
          <cell r="J228">
            <v>1.3188386088161297</v>
          </cell>
        </row>
        <row r="229">
          <cell r="A229" t="str">
            <v>LTH</v>
          </cell>
          <cell r="B229" t="str">
            <v>VAR_fin</v>
          </cell>
          <cell r="C229" t="str">
            <v>D-CHEAT</v>
          </cell>
          <cell r="I229">
            <v>5.1173708775390393E-4</v>
          </cell>
          <cell r="J229">
            <v>5.7600595798957835E-2</v>
          </cell>
        </row>
        <row r="230">
          <cell r="A230" t="str">
            <v>LNGA</v>
          </cell>
          <cell r="B230" t="str">
            <v>VAR_fin</v>
          </cell>
          <cell r="C230" t="str">
            <v>D-LNGA</v>
          </cell>
          <cell r="H230">
            <v>4.5156240098559028E-3</v>
          </cell>
          <cell r="I230">
            <v>5.7961982407224175E-3</v>
          </cell>
          <cell r="J230">
            <v>4.1249991728141379E-5</v>
          </cell>
        </row>
        <row r="231">
          <cell r="A231" t="str">
            <v>IH2</v>
          </cell>
          <cell r="B231" t="str">
            <v>VAR_fout</v>
          </cell>
          <cell r="C231" t="str">
            <v>D-INGA</v>
          </cell>
          <cell r="I231">
            <v>0.18278140827376654</v>
          </cell>
          <cell r="J231">
            <v>0.12368861951993831</v>
          </cell>
        </row>
        <row r="232">
          <cell r="A232" t="str">
            <v>WHEAT</v>
          </cell>
          <cell r="B232" t="str">
            <v>VAR_fin</v>
          </cell>
          <cell r="C232" t="str">
            <v>D-CHEAT</v>
          </cell>
          <cell r="I232">
            <v>3.7245188082242493E-3</v>
          </cell>
          <cell r="J232">
            <v>0.15484115628115674</v>
          </cell>
        </row>
        <row r="233">
          <cell r="A233" t="str">
            <v>SOL</v>
          </cell>
          <cell r="B233" t="str">
            <v>VAR_fin</v>
          </cell>
          <cell r="C233" t="str">
            <v>ESOL-PV_E</v>
          </cell>
          <cell r="H233">
            <v>3.6040163788483022E-2</v>
          </cell>
          <cell r="I233">
            <v>16.322245133073757</v>
          </cell>
          <cell r="J233">
            <v>35.832913653390044</v>
          </cell>
        </row>
        <row r="234">
          <cell r="A234" t="str">
            <v>TKER</v>
          </cell>
          <cell r="B234" t="str">
            <v>VAR_fout</v>
          </cell>
          <cell r="C234" t="str">
            <v>D-TBDS1</v>
          </cell>
          <cell r="E234">
            <v>2.7822206827350899E-5</v>
          </cell>
          <cell r="F234">
            <v>2.1018268195836101E-4</v>
          </cell>
          <cell r="G234">
            <v>5.4526850065787103E-3</v>
          </cell>
          <cell r="H234">
            <v>1.80557206683928E-2</v>
          </cell>
          <cell r="I234">
            <v>4.1201217949505403E-2</v>
          </cell>
          <cell r="J234">
            <v>1.69080291224149</v>
          </cell>
        </row>
        <row r="235">
          <cell r="A235" t="str">
            <v>BDS1</v>
          </cell>
          <cell r="B235" t="str">
            <v>VAR_fout</v>
          </cell>
          <cell r="C235" t="str">
            <v>IMPBDS1</v>
          </cell>
          <cell r="H235">
            <v>4.2083157035022296</v>
          </cell>
          <cell r="I235">
            <v>25.380683485443299</v>
          </cell>
          <cell r="J235">
            <v>63.901843643334999</v>
          </cell>
        </row>
        <row r="236">
          <cell r="A236" t="str">
            <v>BDS1</v>
          </cell>
          <cell r="B236" t="str">
            <v>VAR_fin</v>
          </cell>
          <cell r="C236" t="str">
            <v>D-TBDS1intl</v>
          </cell>
          <cell r="H236">
            <v>4.2083157035022296</v>
          </cell>
          <cell r="I236">
            <v>25.380683485443299</v>
          </cell>
          <cell r="J236">
            <v>63.901843643334999</v>
          </cell>
        </row>
        <row r="237">
          <cell r="A237" t="str">
            <v>CELC</v>
          </cell>
          <cell r="B237" t="str">
            <v>VAR_fout</v>
          </cell>
          <cell r="C237" t="str">
            <v>D-CELC</v>
          </cell>
          <cell r="E237">
            <v>2.4119273795316287</v>
          </cell>
          <cell r="F237">
            <v>0.55532293892311146</v>
          </cell>
          <cell r="G237">
            <v>2.7114420251703923</v>
          </cell>
          <cell r="H237">
            <v>2.806713361518296</v>
          </cell>
          <cell r="I237">
            <v>17.50224654671953</v>
          </cell>
          <cell r="J237">
            <v>31.901991304957907</v>
          </cell>
        </row>
        <row r="238">
          <cell r="A238" t="str">
            <v>CELC</v>
          </cell>
          <cell r="B238" t="str">
            <v>VAR_fin</v>
          </cell>
          <cell r="C238" t="str">
            <v>SUP_H2NGA</v>
          </cell>
          <cell r="I238">
            <v>0.24480332372075464</v>
          </cell>
          <cell r="J238">
            <v>0.41303348836450116</v>
          </cell>
        </row>
        <row r="239">
          <cell r="A239" t="str">
            <v>CELC</v>
          </cell>
          <cell r="B239" t="str">
            <v>VAR_fin</v>
          </cell>
          <cell r="C239" t="str">
            <v>SUP_ELCH2_SOEC</v>
          </cell>
          <cell r="I239">
            <v>2.7711208692389119E-2</v>
          </cell>
          <cell r="J239">
            <v>0.1385173833756729</v>
          </cell>
        </row>
        <row r="240">
          <cell r="A240" t="str">
            <v>CELC</v>
          </cell>
          <cell r="B240" t="str">
            <v>VAR_fin</v>
          </cell>
          <cell r="C240" t="str">
            <v>SUP_ELCH2</v>
          </cell>
          <cell r="E240">
            <v>6.090515164578549E-3</v>
          </cell>
          <cell r="F240">
            <v>1.016120045656251E-2</v>
          </cell>
          <cell r="G240">
            <v>1.0315079119426156E-2</v>
          </cell>
          <cell r="H240">
            <v>5.7827486860010761E-3</v>
          </cell>
          <cell r="I240">
            <v>17.064982232136312</v>
          </cell>
          <cell r="J240">
            <v>30.728061222925071</v>
          </cell>
        </row>
        <row r="241">
          <cell r="A241" t="str">
            <v>CELC</v>
          </cell>
          <cell r="B241" t="str">
            <v>VAR_fin</v>
          </cell>
          <cell r="C241" t="str">
            <v>CT_CWODBDS</v>
          </cell>
          <cell r="E241">
            <v>9.5932244528393121E-3</v>
          </cell>
          <cell r="F241">
            <v>8.3651187690326964E-2</v>
          </cell>
          <cell r="G241">
            <v>8.3602960537117535E-2</v>
          </cell>
          <cell r="H241">
            <v>6.63118717078785E-2</v>
          </cell>
          <cell r="I241">
            <v>0.163537972225893</v>
          </cell>
          <cell r="J241">
            <v>0.13028107475319869</v>
          </cell>
        </row>
        <row r="242">
          <cell r="A242" t="str">
            <v>CELC</v>
          </cell>
          <cell r="B242" t="str">
            <v>VAR_fin</v>
          </cell>
          <cell r="C242" t="str">
            <v>CT_CWODETHCCS</v>
          </cell>
          <cell r="I242">
            <v>4.1067372487180095E-4</v>
          </cell>
          <cell r="J242">
            <v>2.6367652966227745E-2</v>
          </cell>
        </row>
        <row r="243">
          <cell r="A243" t="str">
            <v>CELC</v>
          </cell>
          <cell r="B243" t="str">
            <v>VAR_fin</v>
          </cell>
          <cell r="C243" t="str">
            <v>CT_CWODETH</v>
          </cell>
          <cell r="E243">
            <v>2.3962436399142129</v>
          </cell>
          <cell r="F243">
            <v>0.46151055077622144</v>
          </cell>
          <cell r="G243">
            <v>2.6175239855138503</v>
          </cell>
          <cell r="H243">
            <v>2.7346187411244158</v>
          </cell>
          <cell r="I243">
            <v>5.1247210822758643E-4</v>
          </cell>
          <cell r="J243">
            <v>1.1282448259532054E-3</v>
          </cell>
        </row>
        <row r="244">
          <cell r="A244" t="str">
            <v>CELC</v>
          </cell>
          <cell r="B244" t="str">
            <v>VAR_fin</v>
          </cell>
          <cell r="C244" t="str">
            <v>SUP_DAC</v>
          </cell>
          <cell r="I244">
            <v>2.0748320774941181E-5</v>
          </cell>
          <cell r="J244">
            <v>2.8129460067658419E-2</v>
          </cell>
        </row>
        <row r="245">
          <cell r="A245" t="str">
            <v>CELC</v>
          </cell>
          <cell r="B245" t="str">
            <v>VAR_fin</v>
          </cell>
          <cell r="C245" t="str">
            <v>CT_CWODBDSCCS</v>
          </cell>
          <cell r="I245">
            <v>2.6791579029683229E-4</v>
          </cell>
          <cell r="J245">
            <v>0.43647277767962483</v>
          </cell>
        </row>
        <row r="246">
          <cell r="A246" t="str">
            <v>SBIO</v>
          </cell>
          <cell r="B246" t="str">
            <v>VAR_fout</v>
          </cell>
          <cell r="C246" t="str">
            <v>D-SBIO</v>
          </cell>
          <cell r="E246">
            <v>4.0477231290520583</v>
          </cell>
          <cell r="F246">
            <v>4.584380308835553</v>
          </cell>
          <cell r="G246">
            <v>3.0479949188832305</v>
          </cell>
          <cell r="H246">
            <v>3.0329002079491518</v>
          </cell>
          <cell r="I246">
            <v>2.9504900244446941</v>
          </cell>
          <cell r="J246">
            <v>2.8933256683265012</v>
          </cell>
        </row>
        <row r="247">
          <cell r="A247" t="str">
            <v>INGA</v>
          </cell>
          <cell r="B247" t="str">
            <v>VAR_fout</v>
          </cell>
          <cell r="C247" t="str">
            <v>D-INGA</v>
          </cell>
          <cell r="E247">
            <v>37.489977382904698</v>
          </cell>
          <cell r="F247">
            <v>29.994983228121676</v>
          </cell>
          <cell r="G247">
            <v>29.4654600109602</v>
          </cell>
          <cell r="H247">
            <v>22.113956962733592</v>
          </cell>
          <cell r="I247">
            <v>5.8959722914160295</v>
          </cell>
          <cell r="J247">
            <v>3.9875489527715744</v>
          </cell>
        </row>
        <row r="248">
          <cell r="A248" t="str">
            <v>DSL</v>
          </cell>
          <cell r="B248" t="str">
            <v>VAR_fout</v>
          </cell>
          <cell r="C248" t="str">
            <v>SUP_H2DSL</v>
          </cell>
          <cell r="I248">
            <v>1.0287754813857757E-2</v>
          </cell>
          <cell r="J248">
            <v>8.7145016976395056</v>
          </cell>
        </row>
        <row r="249">
          <cell r="A249" t="str">
            <v>WSTREN</v>
          </cell>
          <cell r="B249" t="str">
            <v>VAR_fin</v>
          </cell>
          <cell r="C249" t="str">
            <v>D-CWST</v>
          </cell>
          <cell r="E249">
            <v>9.6793947869249006</v>
          </cell>
          <cell r="F249">
            <v>9.8511305886742857</v>
          </cell>
          <cell r="G249">
            <v>9.1103608261072093</v>
          </cell>
          <cell r="H249">
            <v>11.900430677254938</v>
          </cell>
          <cell r="I249">
            <v>14.60164952802876</v>
          </cell>
          <cell r="J249">
            <v>17.096548755244182</v>
          </cell>
        </row>
        <row r="250">
          <cell r="A250" t="str">
            <v>SOLPVC</v>
          </cell>
          <cell r="B250" t="str">
            <v>VAR_fin</v>
          </cell>
          <cell r="C250" t="str">
            <v>ESOL-PV_E</v>
          </cell>
          <cell r="H250">
            <v>3.6040163788483001E-2</v>
          </cell>
          <cell r="I250">
            <v>16.3222451330738</v>
          </cell>
          <cell r="J250">
            <v>35.832913653390101</v>
          </cell>
        </row>
        <row r="251">
          <cell r="A251" t="str">
            <v>KERintl</v>
          </cell>
          <cell r="B251" t="str">
            <v>VAR_fout</v>
          </cell>
          <cell r="C251" t="str">
            <v>SUP_H2DSL</v>
          </cell>
          <cell r="I251">
            <v>3.0585897206907701E-3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1.76463037492786E-2</v>
          </cell>
          <cell r="E4">
            <v>1.7915203280647399E-2</v>
          </cell>
          <cell r="F4">
            <v>1.7867524365495199E-2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4.3704890580067955E-3</v>
          </cell>
          <cell r="E5">
            <v>3.5534983831737904E-3</v>
          </cell>
          <cell r="F5">
            <v>2.2221843598414612E-3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3.1287772605104018E-4</v>
          </cell>
          <cell r="E6">
            <v>3.1764544823842817E-4</v>
          </cell>
          <cell r="F6">
            <v>3.1680007740239743E-4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4.1777601775549066E-5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3.4500176677106169</v>
          </cell>
          <cell r="E8">
            <v>1.3130351982912041</v>
          </cell>
          <cell r="F8">
            <v>1.3701448504578326</v>
          </cell>
          <cell r="G8">
            <v>0.61800354526219603</v>
          </cell>
          <cell r="H8">
            <v>0.45802180690744698</v>
          </cell>
          <cell r="I8">
            <v>3.4881137193237897E-2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6.314245188003764E-3</v>
          </cell>
          <cell r="E9">
            <v>2.4095601337873738E-3</v>
          </cell>
          <cell r="F9">
            <v>2.523180008795636E-3</v>
          </cell>
          <cell r="G9">
            <v>1.1889764342453873E-3</v>
          </cell>
          <cell r="H9">
            <v>9.6207665431421844E-4</v>
          </cell>
          <cell r="I9">
            <v>7.486375368861902E-5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6.1170526023237921E-2</v>
          </cell>
          <cell r="E10">
            <v>2.3280765927149043E-2</v>
          </cell>
          <cell r="F10">
            <v>2.429334841237293E-2</v>
          </cell>
          <cell r="G10">
            <v>1.0957509667769431E-2</v>
          </cell>
          <cell r="H10">
            <v>8.1209540231816854E-3</v>
          </cell>
          <cell r="I10">
            <v>6.1845987931272942E-4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1.70440352061914E-6</v>
          </cell>
          <cell r="F11">
            <v>4.5756033395959404E-6</v>
          </cell>
          <cell r="G11">
            <v>1.2593498213169301E-5</v>
          </cell>
          <cell r="H11">
            <v>1.05225721324267E-5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1.2128089671758013E-4</v>
          </cell>
          <cell r="E12">
            <v>4.9078220622433551E-5</v>
          </cell>
          <cell r="F12">
            <v>4.9114925712237576E-5</v>
          </cell>
          <cell r="G12">
            <v>2.2839570436798864E-5</v>
          </cell>
          <cell r="H12">
            <v>2.2862224398371032E-5</v>
          </cell>
          <cell r="I12">
            <v>1.8465918341347001E-6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2.1724019484199836E-4</v>
          </cell>
          <cell r="E13">
            <v>1.9972047136383965E-3</v>
          </cell>
          <cell r="F13">
            <v>2.4918580441397132E-3</v>
          </cell>
          <cell r="G13">
            <v>8.488750505212965E-3</v>
          </cell>
          <cell r="H13">
            <v>6.3906922248450314E-3</v>
          </cell>
          <cell r="I13">
            <v>1.1086728604018229E-3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2.1724019484199836E-4</v>
          </cell>
          <cell r="E14">
            <v>1.9972047136383965E-3</v>
          </cell>
          <cell r="F14">
            <v>2.4918580441397132E-3</v>
          </cell>
          <cell r="G14">
            <v>8.488750505212965E-3</v>
          </cell>
          <cell r="H14">
            <v>6.3906922248450314E-3</v>
          </cell>
          <cell r="I14">
            <v>1.1086728604018229E-3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1.9576443968854601E-4</v>
          </cell>
          <cell r="F15">
            <v>1.6058926734253799E-4</v>
          </cell>
          <cell r="G15">
            <v>9.92349239446333E-4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2.597090448572774E-5</v>
          </cell>
          <cell r="E16">
            <v>2.1900699859919316E-4</v>
          </cell>
          <cell r="F16">
            <v>3.6601548804665227E-4</v>
          </cell>
          <cell r="G16">
            <v>1.2449851923035304E-3</v>
          </cell>
          <cell r="H16">
            <v>9.6005004473792273E-4</v>
          </cell>
          <cell r="I16">
            <v>1.6603308126996946E-4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2.5806773350793397E-3</v>
          </cell>
          <cell r="E17">
            <v>6.8152216943386593E-3</v>
          </cell>
          <cell r="F17">
            <v>7.8444275383233574E-3</v>
          </cell>
          <cell r="G17">
            <v>1.4056236010438892</v>
          </cell>
          <cell r="H17">
            <v>2.0354225583963896</v>
          </cell>
          <cell r="I17">
            <v>2.7150738158860301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9.6033148755365148E-3</v>
          </cell>
          <cell r="E18">
            <v>2.5199092855645068E-2</v>
          </cell>
          <cell r="F18">
            <v>2.8780032682396692E-2</v>
          </cell>
          <cell r="G18">
            <v>4.8029995641935521</v>
          </cell>
          <cell r="H18">
            <v>6.5292515469329109</v>
          </cell>
          <cell r="I18">
            <v>8.0285399837240714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1.67087599568414E-5</v>
          </cell>
          <cell r="F19">
            <v>3.0833553752230303E-5</v>
          </cell>
          <cell r="G19">
            <v>2.63935943709954E-2</v>
          </cell>
          <cell r="H19">
            <v>2.1626710942452099E-2</v>
          </cell>
          <cell r="I19">
            <v>4.93858787263479E-2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5.1935473473694486E-5</v>
          </cell>
          <cell r="E20">
            <v>1.2870875995684141E-4</v>
          </cell>
          <cell r="F20">
            <v>1.5199913145299372E-4</v>
          </cell>
          <cell r="G20">
            <v>2.6443435937446694E-2</v>
          </cell>
          <cell r="H20">
            <v>3.8337290365059694E-2</v>
          </cell>
          <cell r="I20">
            <v>5.3181118596123497E-2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4.7217721184972791E-2</v>
          </cell>
          <cell r="E21">
            <v>9.9490964280913377E-2</v>
          </cell>
          <cell r="F21">
            <v>7.4849124977495018E-2</v>
          </cell>
          <cell r="G21">
            <v>8.7482841873528602E-2</v>
          </cell>
          <cell r="H21">
            <v>3.0378690625150119E-2</v>
          </cell>
          <cell r="I21">
            <v>8.2088115783086908E-3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4.7217721184972791E-2</v>
          </cell>
          <cell r="E22">
            <v>9.9490964280913377E-2</v>
          </cell>
          <cell r="F22">
            <v>7.4849124977495018E-2</v>
          </cell>
          <cell r="G22">
            <v>8.7482841873528602E-2</v>
          </cell>
          <cell r="H22">
            <v>3.0378690625150119E-2</v>
          </cell>
          <cell r="I22">
            <v>8.2088115783086908E-3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8.5070651477201799E-5</v>
          </cell>
          <cell r="F23">
            <v>2.29311674248671E-4</v>
          </cell>
          <cell r="G23">
            <v>5.6511072420280196E-4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4.8841603155373144E-3</v>
          </cell>
          <cell r="E24">
            <v>7.5525765883524059E-3</v>
          </cell>
          <cell r="F24">
            <v>7.4997614524826648E-3</v>
          </cell>
          <cell r="G24">
            <v>6.6435504895609784E-3</v>
          </cell>
          <cell r="H24">
            <v>3.1694469742952021E-3</v>
          </cell>
          <cell r="I24">
            <v>8.5978657463350221E-4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10.916619290932569</v>
          </cell>
          <cell r="E25">
            <v>12.364777555417389</v>
          </cell>
          <cell r="F25">
            <v>15.634490612121073</v>
          </cell>
          <cell r="G25">
            <v>40.867681261946487</v>
          </cell>
          <cell r="H25">
            <v>69.191128656690537</v>
          </cell>
          <cell r="I25">
            <v>77.411883198870896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F26">
            <v>3.76004657703058E-5</v>
          </cell>
          <cell r="G26">
            <v>2.4645483947210999E-5</v>
          </cell>
          <cell r="H26">
            <v>7.5522443228142203E-5</v>
          </cell>
          <cell r="I26">
            <v>3.1437296678255899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1.2172922120801058E-2</v>
          </cell>
          <cell r="E27">
            <v>4.9698175263516537E-3</v>
          </cell>
          <cell r="F27">
            <v>5.5583306754772308E-3</v>
          </cell>
          <cell r="G27">
            <v>3.4147494415620989E-2</v>
          </cell>
          <cell r="H27">
            <v>4.5031533486767588</v>
          </cell>
          <cell r="I27">
            <v>8.3473709423228346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2.3622635754766663</v>
          </cell>
          <cell r="E28">
            <v>8.8076665690616424E-2</v>
          </cell>
          <cell r="F28">
            <v>0.18756732687721048</v>
          </cell>
          <cell r="G28">
            <v>12.512766572052209</v>
          </cell>
          <cell r="H28">
            <v>26.145019672377387</v>
          </cell>
          <cell r="I28">
            <v>26.745222534225615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1.6315016467409023</v>
          </cell>
          <cell r="E29">
            <v>6.9708447402732382E-2</v>
          </cell>
          <cell r="F29">
            <v>0.1386123543307422</v>
          </cell>
          <cell r="G29">
            <v>4.5798822975089131</v>
          </cell>
          <cell r="H29">
            <v>15.293493596335672</v>
          </cell>
          <cell r="I29">
            <v>22.148156235198925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6.9106811465941975</v>
          </cell>
          <cell r="E30">
            <v>12.20206385143192</v>
          </cell>
          <cell r="F30">
            <v>15.302846303096581</v>
          </cell>
          <cell r="G30">
            <v>23.74094618165784</v>
          </cell>
          <cell r="H30">
            <v>23.24956755135322</v>
          </cell>
          <cell r="I30">
            <v>23.314923114029053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4.2163164452292831E-2</v>
          </cell>
          <cell r="E31">
            <v>0.64163177262757765</v>
          </cell>
          <cell r="F31">
            <v>1.179940990445542</v>
          </cell>
          <cell r="G31">
            <v>5.2486022556716572</v>
          </cell>
          <cell r="H31">
            <v>6.8968348594912037</v>
          </cell>
          <cell r="I31">
            <v>1.0613267877862935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4.2163164452292831E-2</v>
          </cell>
          <cell r="E32">
            <v>0.64163177262757765</v>
          </cell>
          <cell r="F32">
            <v>1.179940990445542</v>
          </cell>
          <cell r="G32">
            <v>5.2486022556716572</v>
          </cell>
          <cell r="H32">
            <v>6.8968348594912037</v>
          </cell>
          <cell r="I32">
            <v>1.0613267877862935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3.39826095578371E-2</v>
          </cell>
          <cell r="F33">
            <v>4.0053341071959403E-2</v>
          </cell>
          <cell r="G33">
            <v>0.30886754392687399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4.0673158343176958E-3</v>
          </cell>
          <cell r="E34">
            <v>4.4133228462247077E-2</v>
          </cell>
          <cell r="F34">
            <v>8.1185002771928971E-2</v>
          </cell>
          <cell r="G34">
            <v>0.36090144747946584</v>
          </cell>
          <cell r="H34">
            <v>0.47695335138729139</v>
          </cell>
          <cell r="I34">
            <v>0.10412217281655582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1.4073192013850023E-5</v>
          </cell>
          <cell r="E35">
            <v>1.7915409627548104E-3</v>
          </cell>
          <cell r="F35">
            <v>2.3176707283426618E-3</v>
          </cell>
          <cell r="G35">
            <v>8.9342967622856317E-3</v>
          </cell>
          <cell r="H35">
            <v>6.6275862591594929E-3</v>
          </cell>
          <cell r="I35">
            <v>1.108092662343906E-3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1.4073192013850023E-5</v>
          </cell>
          <cell r="E36">
            <v>1.7915409627548104E-3</v>
          </cell>
          <cell r="F36">
            <v>2.3176707283426618E-3</v>
          </cell>
          <cell r="G36">
            <v>8.9342967622856317E-3</v>
          </cell>
          <cell r="H36">
            <v>6.6275862591594929E-3</v>
          </cell>
          <cell r="I36">
            <v>1.108092662343906E-3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1.9638237373000901E-4</v>
          </cell>
          <cell r="F37">
            <v>1.6149804806135499E-4</v>
          </cell>
          <cell r="G37">
            <v>1.08629846869515E-3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1.9528790555091099E-4</v>
          </cell>
          <cell r="F38">
            <v>3.4344607763672096E-4</v>
          </cell>
          <cell r="G38">
            <v>1.3179162949824351E-3</v>
          </cell>
          <cell r="H38">
            <v>9.9606522040237341E-4</v>
          </cell>
          <cell r="I38">
            <v>1.660173942194485E-4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6.5927687022287934E-2</v>
          </cell>
          <cell r="E39">
            <v>0.16501749849552283</v>
          </cell>
          <cell r="F39">
            <v>0.16486463047451796</v>
          </cell>
          <cell r="G39">
            <v>0.1427460903811035</v>
          </cell>
          <cell r="H39">
            <v>2.1353868409450302E-2</v>
          </cell>
          <cell r="I39">
            <v>5.247492027379487E-3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6.5927687022287934E-2</v>
          </cell>
          <cell r="E40">
            <v>0.16501749849552283</v>
          </cell>
          <cell r="F40">
            <v>0.16486463047451796</v>
          </cell>
          <cell r="G40">
            <v>0.1427460903811035</v>
          </cell>
          <cell r="H40">
            <v>2.1353868409450302E-2</v>
          </cell>
          <cell r="I40">
            <v>5.247492027379487E-3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5.6588644882889704E-4</v>
          </cell>
          <cell r="F41">
            <v>6.3856839718037198E-4</v>
          </cell>
          <cell r="G41">
            <v>8.0770611900999505E-4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7.2611146572137773E-3</v>
          </cell>
          <cell r="E42">
            <v>1.3016742824486872E-2</v>
          </cell>
          <cell r="F42">
            <v>1.309854522641256E-2</v>
          </cell>
          <cell r="G42">
            <v>1.1282925466512304E-2</v>
          </cell>
          <cell r="H42">
            <v>2.3264559417086705E-3</v>
          </cell>
          <cell r="I42">
            <v>5.7549758530536538E-4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6.7615513026030014E-6</v>
          </cell>
          <cell r="E43">
            <v>1.4608189972240128E-3</v>
          </cell>
          <cell r="F43">
            <v>4.273229622317405E-3</v>
          </cell>
          <cell r="G43">
            <v>1.1821276284827984E-2</v>
          </cell>
          <cell r="H43">
            <v>2.9196251954767893E-2</v>
          </cell>
          <cell r="I43">
            <v>7.7972533813544546E-3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6.7615513026030014E-6</v>
          </cell>
          <cell r="E44">
            <v>1.4608189972240128E-3</v>
          </cell>
          <cell r="F44">
            <v>4.273229622317405E-3</v>
          </cell>
          <cell r="G44">
            <v>1.1821276284827984E-2</v>
          </cell>
          <cell r="H44">
            <v>2.9196251954767893E-2</v>
          </cell>
          <cell r="I44">
            <v>7.7972533813544546E-3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1.12811537720762E-4</v>
          </cell>
          <cell r="F45">
            <v>2.6954261263580602E-4</v>
          </cell>
          <cell r="G45">
            <v>6.1281868445248796E-4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1.1155997427532306E-4</v>
          </cell>
          <cell r="F46">
            <v>3.7111321029029978E-4</v>
          </cell>
          <cell r="G46">
            <v>8.9924875896237684E-4</v>
          </cell>
          <cell r="H46">
            <v>3.0449646621873096E-3</v>
          </cell>
          <cell r="I46">
            <v>8.1696638691893864E-4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0.24501907180752855</v>
          </cell>
          <cell r="I47">
            <v>0.26339373039824482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9.7090618290533364</v>
          </cell>
          <cell r="I48">
            <v>10.452296859593746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4.4021380340969701E-5</v>
          </cell>
          <cell r="E49">
            <v>5.4049776762817103E-5</v>
          </cell>
          <cell r="F49">
            <v>8.1082324423501295E-5</v>
          </cell>
          <cell r="G49">
            <v>1.3513417953944201E-4</v>
          </cell>
          <cell r="H49">
            <v>1.3347286968147499E-4</v>
          </cell>
          <cell r="I49">
            <v>1.2802879387487399E-3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2.0938238782061496E-3</v>
          </cell>
          <cell r="E50">
            <v>2.1478736549689669E-3</v>
          </cell>
          <cell r="F50">
            <v>2.2289559793924681E-3</v>
          </cell>
          <cell r="G50">
            <v>2.3640901589319098E-3</v>
          </cell>
          <cell r="H50">
            <v>2.6310041962959172E-3</v>
          </cell>
          <cell r="I50">
            <v>2.8282574230960502E-3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7.4945721249451678E-5</v>
          </cell>
          <cell r="E51">
            <v>2.1994710768519127E-2</v>
          </cell>
          <cell r="F51">
            <v>0.96365959319640737</v>
          </cell>
          <cell r="G51">
            <v>3.7804437195335749</v>
          </cell>
          <cell r="H51">
            <v>4.8282389439630737</v>
          </cell>
          <cell r="I51">
            <v>0.73710217003468304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7.4945721249451678E-5</v>
          </cell>
          <cell r="E52">
            <v>2.1994710768519127E-2</v>
          </cell>
          <cell r="F52">
            <v>0.96365959319640737</v>
          </cell>
          <cell r="G52">
            <v>3.7804437195335749</v>
          </cell>
          <cell r="H52">
            <v>4.8282389439630737</v>
          </cell>
          <cell r="I52">
            <v>0.73710217003468304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1.53109743745838E-3</v>
          </cell>
          <cell r="F53">
            <v>6.5722949791786694E-2</v>
          </cell>
          <cell r="G53">
            <v>0.212821727886365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1.5147391012060459E-3</v>
          </cell>
          <cell r="F54">
            <v>6.6276105352494119E-2</v>
          </cell>
          <cell r="G54">
            <v>0.25994150969140078</v>
          </cell>
          <cell r="H54">
            <v>0.33395614743675406</v>
          </cell>
          <cell r="I54">
            <v>7.2369666253016537E-2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2.9992702789227005E-3</v>
          </cell>
          <cell r="E55">
            <v>1.4714435797547434E-2</v>
          </cell>
          <cell r="F55">
            <v>2.2314397953060276E-2</v>
          </cell>
          <cell r="G55">
            <v>2.8578202793959527E-2</v>
          </cell>
          <cell r="H55">
            <v>2.0328005712320688E-2</v>
          </cell>
          <cell r="I55">
            <v>4.8923150624651411E-3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2.9992702789227005E-3</v>
          </cell>
          <cell r="E56">
            <v>1.4714435797547434E-2</v>
          </cell>
          <cell r="F56">
            <v>2.2314397953060276E-2</v>
          </cell>
          <cell r="G56">
            <v>2.8578202793959527E-2</v>
          </cell>
          <cell r="H56">
            <v>2.0328005712320688E-2</v>
          </cell>
          <cell r="I56">
            <v>4.8923150624651411E-3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4.9777440279920597E-4</v>
          </cell>
          <cell r="F57">
            <v>7.0928153380657097E-4</v>
          </cell>
          <cell r="G57">
            <v>8.2937450410172902E-4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2.5895800898451755E-4</v>
          </cell>
          <cell r="E58">
            <v>1.1711176616166854E-3</v>
          </cell>
          <cell r="F58">
            <v>1.8154725062656956E-3</v>
          </cell>
          <cell r="G58">
            <v>2.2772698909500058E-3</v>
          </cell>
          <cell r="H58">
            <v>2.2126993058660103E-3</v>
          </cell>
          <cell r="I58">
            <v>5.3799794351519481E-4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5.1341693875230563E-6</v>
          </cell>
          <cell r="H59">
            <v>5.7226597334584157E-6</v>
          </cell>
          <cell r="I59">
            <v>3.0321519620401485E-6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2.1903288393884349E-5</v>
          </cell>
          <cell r="H60">
            <v>2.1988950566436403E-5</v>
          </cell>
          <cell r="I60">
            <v>1.0461841001342546E-5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1.09704604941593E-7</v>
          </cell>
          <cell r="H61">
            <v>7.3384796087333404E-8</v>
          </cell>
          <cell r="I61">
            <v>5.2722875385131103E-8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1.09704604941593E-7</v>
          </cell>
          <cell r="H62">
            <v>1.2603644242609711E-7</v>
          </cell>
          <cell r="I62">
            <v>9.9853236553980495E-8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2.1818552534292517E-4</v>
          </cell>
          <cell r="E63">
            <v>1.7949826894288028E-3</v>
          </cell>
          <cell r="F63">
            <v>2.182644231541546E-3</v>
          </cell>
          <cell r="G63">
            <v>6.7872375433525875E-3</v>
          </cell>
          <cell r="H63">
            <v>4.1663911919908661E-3</v>
          </cell>
          <cell r="I63">
            <v>5.3960760724909942E-4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2.2561762143410199E-2</v>
          </cell>
          <cell r="E64">
            <v>0.18561255347613098</v>
          </cell>
          <cell r="F64">
            <v>0.22569920675685801</v>
          </cell>
          <cell r="G64">
            <v>0.70184325391551683</v>
          </cell>
          <cell r="H64">
            <v>0.41199720911885257</v>
          </cell>
          <cell r="I64">
            <v>5.1001527764614904E-2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3.0571493419255053E-4</v>
          </cell>
          <cell r="E65">
            <v>2.5150752503540802E-3</v>
          </cell>
          <cell r="F65">
            <v>3.0582548341037794E-3</v>
          </cell>
          <cell r="G65">
            <v>9.5100711912671741E-3</v>
          </cell>
          <cell r="H65">
            <v>5.5826180097405557E-3</v>
          </cell>
          <cell r="I65">
            <v>6.9107761198665245E-4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1.5341031504138343E-6</v>
          </cell>
          <cell r="H66">
            <v>5.4825500331323838E-6</v>
          </cell>
          <cell r="I66">
            <v>3.7403727929632842E-6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9.0720840369446417E-6</v>
          </cell>
          <cell r="H67">
            <v>2.9799331699737552E-5</v>
          </cell>
          <cell r="I67">
            <v>1.8561700000641874E-5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3.5824295225495201E-8</v>
          </cell>
          <cell r="H68">
            <v>3.4539547026360798E-8</v>
          </cell>
          <cell r="I68">
            <v>3.3063572529942703E-8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3.5824295225495201E-8</v>
          </cell>
          <cell r="H69">
            <v>1.7981105330058701E-8</v>
          </cell>
          <cell r="I69">
            <v>5.3968460547480101E-8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5.3024847029709203</v>
          </cell>
          <cell r="E70">
            <v>11.01121287282402</v>
          </cell>
          <cell r="F70">
            <v>8.2935592966285601</v>
          </cell>
          <cell r="G70">
            <v>8.438823882793951</v>
          </cell>
          <cell r="H70">
            <v>2.3263728513650914</v>
          </cell>
          <cell r="I70">
            <v>0.39650872479951393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4.2104899919653833E-2</v>
          </cell>
          <cell r="E71">
            <v>8.7435615937655614E-2</v>
          </cell>
          <cell r="F71">
            <v>6.5855821133554246E-2</v>
          </cell>
          <cell r="G71">
            <v>6.7009308829414305E-2</v>
          </cell>
          <cell r="H71">
            <v>1.950390971382418E-2</v>
          </cell>
          <cell r="I71">
            <v>3.4980646754330198E-3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7.1849386219118155E-2</v>
          </cell>
          <cell r="E72">
            <v>0.14920342646103024</v>
          </cell>
          <cell r="F72">
            <v>0.11237885225783963</v>
          </cell>
          <cell r="G72">
            <v>0.114347207083929</v>
          </cell>
          <cell r="H72">
            <v>3.1522667362670655E-2</v>
          </cell>
          <cell r="I72">
            <v>5.3727469485029032E-3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9.4735868563640452E-7</v>
          </cell>
          <cell r="H73">
            <v>7.4090398702831704E-6</v>
          </cell>
          <cell r="I73">
            <v>6.4244280066133171E-6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8.3756711074267077E-6</v>
          </cell>
          <cell r="H74">
            <v>5.9380900730203535E-5</v>
          </cell>
          <cell r="I74">
            <v>4.6629016851159184E-5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2.9222916604721401E-8</v>
          </cell>
          <cell r="H75">
            <v>1.5112244107285899E-8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2.9222916604721401E-8</v>
          </cell>
          <cell r="H76">
            <v>-4.9756473579269297E-8</v>
          </cell>
          <cell r="I76">
            <v>-4.8680705095498173E-8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2.1290764059754509E-4</v>
          </cell>
          <cell r="F77">
            <v>3.3813195686003487E-4</v>
          </cell>
          <cell r="G77">
            <v>6.5940520507785918E-3</v>
          </cell>
          <cell r="H77">
            <v>9.167175165381557E-3</v>
          </cell>
          <cell r="I77">
            <v>2.0824228819197729E-3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2.1290764059754503E-4</v>
          </cell>
          <cell r="F78">
            <v>3.3813195686003487E-4</v>
          </cell>
          <cell r="G78">
            <v>6.5940520507785918E-3</v>
          </cell>
          <cell r="H78">
            <v>9.167175165381557E-3</v>
          </cell>
          <cell r="I78">
            <v>2.0824228819197725E-3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2.1805519080877434E-4</v>
          </cell>
          <cell r="F79">
            <v>3.4734762368606798E-4</v>
          </cell>
          <cell r="G79">
            <v>6.6040034076684934E-3</v>
          </cell>
          <cell r="H79">
            <v>9.1701581965389044E-3</v>
          </cell>
          <cell r="I79">
            <v>2.0846851408289286E-3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2.1805519080877434E-4</v>
          </cell>
          <cell r="F80">
            <v>3.4734762368606798E-4</v>
          </cell>
          <cell r="G80">
            <v>6.6040034076684934E-3</v>
          </cell>
          <cell r="H80">
            <v>9.1701581965389044E-3</v>
          </cell>
          <cell r="I80">
            <v>2.0846851408289286E-3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1.6425067675870701E-2</v>
          </cell>
          <cell r="F81">
            <v>1.17461132124999E-2</v>
          </cell>
          <cell r="G81">
            <v>9.4174401251216497E-2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1.6425067675870701E-2</v>
          </cell>
          <cell r="F82">
            <v>2.8163575990633113E-2</v>
          </cell>
          <cell r="G82">
            <v>0.12232193584662394</v>
          </cell>
          <cell r="H82">
            <v>0.12512902096651199</v>
          </cell>
          <cell r="I82">
            <v>2.4866112187308307E-2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5.7038302849812403</v>
          </cell>
          <cell r="E83">
            <v>73.034330761872695</v>
          </cell>
          <cell r="F83">
            <v>128.9975154038851</v>
          </cell>
          <cell r="G83">
            <v>500.69329134030602</v>
          </cell>
          <cell r="H83">
            <v>484.9988099693436</v>
          </cell>
          <cell r="I83">
            <v>43.403093803197265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4.2163249707332512E-2</v>
          </cell>
          <cell r="E84">
            <v>0.53987663925222951</v>
          </cell>
          <cell r="F84">
            <v>0.95356176145717231</v>
          </cell>
          <cell r="G84">
            <v>3.7011718818413168</v>
          </cell>
          <cell r="H84">
            <v>3.7990331181829475</v>
          </cell>
          <cell r="I84">
            <v>0.35909894389043073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7.7287673238228174E-2</v>
          </cell>
          <cell r="E85">
            <v>0.98962507807415678</v>
          </cell>
          <cell r="F85">
            <v>1.7479338130607751</v>
          </cell>
          <cell r="G85">
            <v>6.784461942280573</v>
          </cell>
          <cell r="H85">
            <v>6.5717995930805397</v>
          </cell>
          <cell r="I85">
            <v>0.58811780221134513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1.691304150910822E-7</v>
          </cell>
          <cell r="H86">
            <v>6.0970379004781832E-6</v>
          </cell>
          <cell r="I86">
            <v>2.257732649490918E-6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2.2284305655136987E-6</v>
          </cell>
          <cell r="H87">
            <v>7.2511465499665802E-5</v>
          </cell>
          <cell r="I87">
            <v>2.5346610353073669E-5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1.5577316462874299E-8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1.5577316462874299E-8</v>
          </cell>
          <cell r="H89">
            <v>-5.4821024500008597E-8</v>
          </cell>
          <cell r="I89">
            <v>-4.8144687298384503E-8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3.3991529770703139E-3</v>
          </cell>
          <cell r="E90">
            <v>8.141518392362641E-3</v>
          </cell>
          <cell r="F90">
            <v>6.3883670303678452E-3</v>
          </cell>
          <cell r="G90">
            <v>1.6179005566206845E-2</v>
          </cell>
          <cell r="H90">
            <v>1.4644233634487847E-2</v>
          </cell>
          <cell r="I90">
            <v>9.1179348802451418E-3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3.3991529770703134E-3</v>
          </cell>
          <cell r="E91">
            <v>8.141518392362641E-3</v>
          </cell>
          <cell r="F91">
            <v>6.3883670303678435E-3</v>
          </cell>
          <cell r="G91">
            <v>1.6179005566206845E-2</v>
          </cell>
          <cell r="H91">
            <v>1.4644233634487844E-2</v>
          </cell>
          <cell r="I91">
            <v>9.1179348802451401E-3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3.4042621798871511E-3</v>
          </cell>
          <cell r="E92">
            <v>8.1482011850384072E-3</v>
          </cell>
          <cell r="F92">
            <v>6.4051933740097754E-3</v>
          </cell>
          <cell r="G92">
            <v>1.6190587953406839E-2</v>
          </cell>
          <cell r="H92">
            <v>1.4648070080403957E-2</v>
          </cell>
          <cell r="I92">
            <v>9.1215854259811963E-3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3.4042621798871511E-3</v>
          </cell>
          <cell r="E93">
            <v>8.1482011850384072E-3</v>
          </cell>
          <cell r="F93">
            <v>6.4051933740097754E-3</v>
          </cell>
          <cell r="G93">
            <v>1.6190587953406839E-2</v>
          </cell>
          <cell r="H93">
            <v>1.4648070080403957E-2</v>
          </cell>
          <cell r="I93">
            <v>9.1215854259811963E-3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6.8810493216365495E-2</v>
          </cell>
          <cell r="E94">
            <v>6.9673716874451203E-2</v>
          </cell>
          <cell r="F94">
            <v>9.1938698823640697E-2</v>
          </cell>
          <cell r="G94">
            <v>0.101953245889776</v>
          </cell>
          <cell r="H94">
            <v>6.1426961259479801E-2</v>
          </cell>
          <cell r="I94">
            <v>3.0843640373553301E-2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6.8810493216365495E-2</v>
          </cell>
          <cell r="E95">
            <v>0.13846914795039975</v>
          </cell>
          <cell r="F95">
            <v>0.23036466390163421</v>
          </cell>
          <cell r="G95">
            <v>0.33224354967125663</v>
          </cell>
          <cell r="H95">
            <v>0.24486120124606717</v>
          </cell>
          <cell r="I95">
            <v>0.11664194952614125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9.3610583686256401</v>
          </cell>
          <cell r="E96">
            <v>19.966021246110849</v>
          </cell>
          <cell r="F96">
            <v>22.366917014193099</v>
          </cell>
          <cell r="G96">
            <v>14.676283570544584</v>
          </cell>
          <cell r="H96">
            <v>1.5908825522714822</v>
          </cell>
          <cell r="I96">
            <v>0.25255882500669202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6.5927687022288017E-2</v>
          </cell>
          <cell r="E97">
            <v>0.14061589490838791</v>
          </cell>
          <cell r="F97">
            <v>0.15752482748184193</v>
          </cell>
          <cell r="G97">
            <v>0.10336154223032203</v>
          </cell>
          <cell r="H97">
            <v>1.1779246981340231E-2</v>
          </cell>
          <cell r="I97">
            <v>1.9597081851585331E-3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0.1268436093309708</v>
          </cell>
          <cell r="E98">
            <v>0.2705422933077351</v>
          </cell>
          <cell r="F98">
            <v>0.30307475628987868</v>
          </cell>
          <cell r="G98">
            <v>0.19886563103718924</v>
          </cell>
          <cell r="H98">
            <v>2.1556674150020102E-2</v>
          </cell>
          <cell r="I98">
            <v>3.4222063009036892E-3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7.5089526975808257E-2</v>
          </cell>
          <cell r="F99">
            <v>0.29350497209184506</v>
          </cell>
          <cell r="G99">
            <v>1.9871982087595443</v>
          </cell>
          <cell r="H99">
            <v>3.9553462954327476</v>
          </cell>
          <cell r="I99">
            <v>1.6268114901978765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7.5089526975808257E-2</v>
          </cell>
          <cell r="F100">
            <v>0.29350497209184501</v>
          </cell>
          <cell r="G100">
            <v>1.9871982087595439</v>
          </cell>
          <cell r="H100">
            <v>3.9553462954327459</v>
          </cell>
          <cell r="I100">
            <v>1.6268114901978765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7.5101420768715704E-2</v>
          </cell>
          <cell r="F101">
            <v>0.2935436296363011</v>
          </cell>
          <cell r="G101">
            <v>1.9874072673378134</v>
          </cell>
          <cell r="H101">
            <v>3.9557431723237917</v>
          </cell>
          <cell r="I101">
            <v>1.6269765210208564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7.5101420768715704E-2</v>
          </cell>
          <cell r="F102">
            <v>0.2935436296363011</v>
          </cell>
          <cell r="G102">
            <v>1.9874072673378134</v>
          </cell>
          <cell r="H102">
            <v>3.9557431723237917</v>
          </cell>
          <cell r="I102">
            <v>1.6269765210208564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3.1512222047131999</v>
          </cell>
          <cell r="F103">
            <v>9.2706402901984006</v>
          </cell>
          <cell r="G103">
            <v>44.693726785848099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3.1512222047131999</v>
          </cell>
          <cell r="F104">
            <v>12.420208746472744</v>
          </cell>
          <cell r="G104">
            <v>57.104290920192405</v>
          </cell>
          <cell r="H104">
            <v>90.359551732368843</v>
          </cell>
          <cell r="I104">
            <v>24.720064574597064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25.0169337434358</v>
          </cell>
          <cell r="F105">
            <v>133.66864473130659</v>
          </cell>
          <cell r="G105">
            <v>91.523574555532875</v>
          </cell>
          <cell r="H105">
            <v>2.51502054907582E-2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0.15725773992305739</v>
          </cell>
          <cell r="F106">
            <v>0.84024801698725082</v>
          </cell>
          <cell r="G106">
            <v>0.57532192521631664</v>
          </cell>
          <cell r="H106">
            <v>1.5809549302239583E-4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0.34129513974673659</v>
          </cell>
          <cell r="F107">
            <v>1.8235831477668014</v>
          </cell>
          <cell r="G107">
            <v>1.2486162968012662</v>
          </cell>
          <cell r="H107">
            <v>3.4311330819588177E-4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1.09657439150894E-2</v>
          </cell>
          <cell r="F108">
            <v>4.7682987791032402E-2</v>
          </cell>
          <cell r="G108">
            <v>7.7474765746682897E-5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1.09657439150894E-2</v>
          </cell>
          <cell r="F109">
            <v>5.8648698994070256E-2</v>
          </cell>
          <cell r="G109">
            <v>5.7273257813040407E-2</v>
          </cell>
          <cell r="H109">
            <v>1.2880279777892552E-5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5.8564330267478557E-4</v>
          </cell>
          <cell r="E110">
            <v>4.6504477841306357E-4</v>
          </cell>
          <cell r="F110">
            <v>4.6858837250889437E-4</v>
          </cell>
          <cell r="G110">
            <v>1.8439585822949521E-4</v>
          </cell>
          <cell r="H110">
            <v>1.6887818113830405E-4</v>
          </cell>
          <cell r="I110">
            <v>1.5654295565657307E-4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3.3569159793586847E-3</v>
          </cell>
          <cell r="E111">
            <v>2.6560608431605622E-3</v>
          </cell>
          <cell r="F111">
            <v>2.6706968089614943E-3</v>
          </cell>
          <cell r="G111">
            <v>1.0246062355215885E-3</v>
          </cell>
          <cell r="H111">
            <v>8.5070366530038256E-4</v>
          </cell>
          <cell r="I111">
            <v>7.1973198884357E-4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6.1653868682650996E-7</v>
          </cell>
          <cell r="F112">
            <v>6.8754216246752305E-7</v>
          </cell>
          <cell r="G112">
            <v>1.3066414547865399E-6</v>
          </cell>
          <cell r="H112">
            <v>1.55726838223651E-6</v>
          </cell>
          <cell r="I112">
            <v>3.0840227503941001E-6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1.218187733742592E-5</v>
          </cell>
          <cell r="E113">
            <v>9.2117370793859131E-6</v>
          </cell>
          <cell r="F113">
            <v>9.9150031445256309E-6</v>
          </cell>
          <cell r="G113">
            <v>3.554085904951789E-6</v>
          </cell>
          <cell r="H113">
            <v>3.4335127591239371E-6</v>
          </cell>
          <cell r="I113">
            <v>3.3573056551824101E-6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1.9839199946815642E-2</v>
          </cell>
          <cell r="F114">
            <v>7.0201699985091319E-3</v>
          </cell>
          <cell r="G114">
            <v>3.5951993355078024E-2</v>
          </cell>
          <cell r="H114">
            <v>2.9056181439404406E-2</v>
          </cell>
          <cell r="I114">
            <v>1.0117895028991689E-2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1.9839199946815642E-2</v>
          </cell>
          <cell r="F115">
            <v>7.020169998509131E-3</v>
          </cell>
          <cell r="G115">
            <v>3.5951993355078017E-2</v>
          </cell>
          <cell r="H115">
            <v>2.9056181439404399E-2</v>
          </cell>
          <cell r="I115">
            <v>1.0117895028991689E-2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1.9847932217522776E-2</v>
          </cell>
          <cell r="F116">
            <v>7.0302128761170531E-3</v>
          </cell>
          <cell r="G116">
            <v>3.5962631185265305E-2</v>
          </cell>
          <cell r="H116">
            <v>2.9064056261869288E-2</v>
          </cell>
          <cell r="I116">
            <v>1.0121254343448547E-2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1.9847932217522776E-2</v>
          </cell>
          <cell r="F117">
            <v>7.0302128761170531E-3</v>
          </cell>
          <cell r="G117">
            <v>3.5962631185265305E-2</v>
          </cell>
          <cell r="H117">
            <v>2.9064056261869288E-2</v>
          </cell>
          <cell r="I117">
            <v>1.0121254343448547E-2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9.1918678026355394E-2</v>
          </cell>
          <cell r="F118">
            <v>0.118267699840252</v>
          </cell>
          <cell r="G118">
            <v>0.141317825753279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9.1918678026355394E-2</v>
          </cell>
          <cell r="F119">
            <v>0.21017211928046978</v>
          </cell>
          <cell r="G119">
            <v>0.35144369107483203</v>
          </cell>
          <cell r="H119">
            <v>0.49349279349500047</v>
          </cell>
          <cell r="I119">
            <v>0.15900857727815751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61.374402017310203</v>
          </cell>
          <cell r="E120">
            <v>130.427047586041</v>
          </cell>
          <cell r="F120">
            <v>40.244948086813203</v>
          </cell>
          <cell r="G120">
            <v>19.9920456705972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0.23084696958556317</v>
          </cell>
          <cell r="E121">
            <v>0.49514621049663482</v>
          </cell>
          <cell r="F121">
            <v>0.15489995154900013</v>
          </cell>
          <cell r="G121">
            <v>7.694796621580445E-2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0.83163146364918938</v>
          </cell>
          <cell r="E122">
            <v>1.7673041678325319</v>
          </cell>
          <cell r="F122">
            <v>0.54532449982131692</v>
          </cell>
          <cell r="G122">
            <v>0.27089492778586977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3.063463374332526E-2</v>
          </cell>
          <cell r="G123">
            <v>1.5317333333333299E-2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2.5094645904068399E-2</v>
          </cell>
          <cell r="E124">
            <v>2.6563202372035279E-2</v>
          </cell>
          <cell r="F124">
            <v>2.9161003664101858E-2</v>
          </cell>
          <cell r="G124">
            <v>3.1642956571776217E-2</v>
          </cell>
          <cell r="H124">
            <v>3.3875927844681769E-2</v>
          </cell>
          <cell r="I124">
            <v>3.6420004631138134E-2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1.5023106741210446</v>
          </cell>
          <cell r="E125">
            <v>1.5902269597626142</v>
          </cell>
          <cell r="F125">
            <v>1.7457463731560643</v>
          </cell>
          <cell r="G125">
            <v>1.8943304320871541</v>
          </cell>
          <cell r="H125">
            <v>2.0280090100242822</v>
          </cell>
          <cell r="I125">
            <v>2.1803121637204024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4.17422795275515E-7</v>
          </cell>
          <cell r="E126">
            <v>1.3530667000778601E-4</v>
          </cell>
          <cell r="F126">
            <v>2.3981954846986501E-4</v>
          </cell>
          <cell r="G126">
            <v>2.29048316539267E-4</v>
          </cell>
          <cell r="H126">
            <v>7.1896805913662496E-5</v>
          </cell>
          <cell r="I126">
            <v>1.4956507210117701E-3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2.3170819104784551E-3</v>
          </cell>
          <cell r="E127">
            <v>2.4523885804862409E-3</v>
          </cell>
          <cell r="F127">
            <v>2.692208128956106E-3</v>
          </cell>
          <cell r="G127">
            <v>2.9212564454953729E-3</v>
          </cell>
          <cell r="H127">
            <v>3.1274424257771148E-3</v>
          </cell>
          <cell r="I127">
            <v>3.3622374535770298E-3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805.65812305112104</v>
          </cell>
          <cell r="E128">
            <v>545.48493809402601</v>
          </cell>
          <cell r="F128">
            <v>399.82856804623498</v>
          </cell>
          <cell r="G128">
            <v>199.76700121302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2.8471346544356484</v>
          </cell>
          <cell r="E129">
            <v>1.993940658874461</v>
          </cell>
          <cell r="F129">
            <v>1.5343418710598851</v>
          </cell>
          <cell r="G129">
            <v>0.76660573784153285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10.991243152129892</v>
          </cell>
          <cell r="E130">
            <v>7.4418136165624285</v>
          </cell>
          <cell r="F130">
            <v>5.4546871493347195</v>
          </cell>
          <cell r="G130">
            <v>2.7253342593863548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0.15266192998408681</v>
          </cell>
          <cell r="G131">
            <v>7.6330789049731659E-2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0.20053747188813112</v>
          </cell>
          <cell r="E132">
            <v>0.13765697173851138</v>
          </cell>
          <cell r="F132">
            <v>0.1197786476828136</v>
          </cell>
          <cell r="G132">
            <v>3.778204981681834E-2</v>
          </cell>
          <cell r="H132">
            <v>2.9232250184914009E-3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2.1883148096393497E-3</v>
          </cell>
          <cell r="E133">
            <v>1.553389444576875E-3</v>
          </cell>
          <cell r="F133">
            <v>1.3385339157964548E-3</v>
          </cell>
          <cell r="G133">
            <v>4.0120174145127566E-4</v>
          </cell>
          <cell r="H133">
            <v>2.8988070759759066E-5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3.5556289341867257E-3</v>
          </cell>
          <cell r="E134">
            <v>2.4407264492643868E-3</v>
          </cell>
          <cell r="F134">
            <v>2.1237348879931486E-3</v>
          </cell>
          <cell r="G134">
            <v>6.6989450029819771E-4</v>
          </cell>
          <cell r="H134">
            <v>5.183023082431574E-5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8.8208986756566098E-6</v>
          </cell>
          <cell r="F135">
            <v>1.1498464791379899E-5</v>
          </cell>
          <cell r="G135">
            <v>7.23381238408068E-6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2.5629355550414398E-4</v>
          </cell>
          <cell r="E136">
            <v>1.786515564976225E-4</v>
          </cell>
          <cell r="F136">
            <v>1.894830489463209E-4</v>
          </cell>
          <cell r="G136">
            <v>4.8820705294654612E-5</v>
          </cell>
          <cell r="H136">
            <v>3.5665247843906759E-6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0.74057614973907238</v>
          </cell>
          <cell r="E137">
            <v>1.7566640430267215</v>
          </cell>
          <cell r="F137">
            <v>4.4230662741433733</v>
          </cell>
          <cell r="G137">
            <v>19.251749540196666</v>
          </cell>
          <cell r="H137">
            <v>40.469457366354462</v>
          </cell>
          <cell r="I137">
            <v>45.735723454216661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0.74057614973907238</v>
          </cell>
          <cell r="E138">
            <v>1.7566640430267215</v>
          </cell>
          <cell r="F138">
            <v>4.4230662741433733</v>
          </cell>
          <cell r="G138">
            <v>19.251749540196666</v>
          </cell>
          <cell r="H138">
            <v>40.469457366354462</v>
          </cell>
          <cell r="I138">
            <v>45.735723454216661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1.2913239678485001E-6</v>
          </cell>
          <cell r="E139">
            <v>1.0133198155195599E-6</v>
          </cell>
          <cell r="F139">
            <v>0.99554146432706103</v>
          </cell>
          <cell r="G139">
            <v>9.2617485776193007</v>
          </cell>
          <cell r="H139">
            <v>12.5114451366405</v>
          </cell>
          <cell r="I139">
            <v>26.265614048543899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1.2762592483820177</v>
          </cell>
          <cell r="E140">
            <v>1.2762602617018333</v>
          </cell>
          <cell r="F140">
            <v>2.2718017260288939</v>
          </cell>
          <cell r="G140">
            <v>11.53355030364815</v>
          </cell>
          <cell r="H140">
            <v>33.554712310389803</v>
          </cell>
          <cell r="I140">
            <v>41.496476041024998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2.9604628030257651</v>
          </cell>
          <cell r="E141">
            <v>3.1995557469721114</v>
          </cell>
          <cell r="F141">
            <v>3.2377815565423944</v>
          </cell>
          <cell r="G141">
            <v>0.10152156245163246</v>
          </cell>
          <cell r="H141">
            <v>4.7424457444900899E-3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3.3174142274789618E-2</v>
          </cell>
          <cell r="E142">
            <v>3.5618856215093787E-2</v>
          </cell>
          <cell r="F142">
            <v>3.5554141147123304E-2</v>
          </cell>
          <cell r="G142">
            <v>9.9681701826079077E-4</v>
          </cell>
          <cell r="H142">
            <v>3.7724218579397414E-5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5.2490475230953244E-2</v>
          </cell>
          <cell r="E143">
            <v>5.672971182574657E-2</v>
          </cell>
          <cell r="F143">
            <v>5.7407474406780068E-2</v>
          </cell>
          <cell r="G143">
            <v>1.8000277030431259E-3</v>
          </cell>
          <cell r="H143">
            <v>8.4085917455497972E-5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6.8419435515528404E-6</v>
          </cell>
          <cell r="F144">
            <v>1.0855809243282099E-5</v>
          </cell>
          <cell r="G144">
            <v>5.8505371477551598E-6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2.6901942264804381E-3</v>
          </cell>
          <cell r="E145">
            <v>2.8207640738650247E-3</v>
          </cell>
          <cell r="F145">
            <v>2.7959889563161089E-3</v>
          </cell>
          <cell r="G145">
            <v>7.8708323500793244E-5</v>
          </cell>
          <cell r="H145">
            <v>3.0844022740267375E-6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324.92270546770726</v>
          </cell>
          <cell r="E146">
            <v>384.72573072805568</v>
          </cell>
          <cell r="F146">
            <v>372.77045886941517</v>
          </cell>
          <cell r="G146">
            <v>153.5214885588598</v>
          </cell>
          <cell r="H146">
            <v>2.1954641598018399E-2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1.5165180529869269</v>
          </cell>
          <cell r="E147">
            <v>1.7956378741148604</v>
          </cell>
          <cell r="F147">
            <v>1.7398388016065349</v>
          </cell>
          <cell r="G147">
            <v>0.71653382482399508</v>
          </cell>
          <cell r="H147">
            <v>1.0246932507325709E-4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4.4327790650437553</v>
          </cell>
          <cell r="E148">
            <v>5.2486457125246471</v>
          </cell>
          <cell r="F148">
            <v>5.0855451414654125</v>
          </cell>
          <cell r="G148">
            <v>2.0944268561918058</v>
          </cell>
          <cell r="H148">
            <v>2.9951762070966451E-4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6.8253157959925995E-5</v>
          </cell>
          <cell r="F149">
            <v>3.6804895816083003E-4</v>
          </cell>
          <cell r="G149">
            <v>4.9743179921512803E-5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0.10616826052639632</v>
          </cell>
          <cell r="E150">
            <v>0.12522359269056363</v>
          </cell>
          <cell r="F150">
            <v>0.12559186529261568</v>
          </cell>
          <cell r="G150">
            <v>7.1319638595518695E-2</v>
          </cell>
          <cell r="H150">
            <v>8.4449657778465699E-6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0.23585298976576211</v>
          </cell>
          <cell r="E151">
            <v>0.2741892686987224</v>
          </cell>
          <cell r="F151">
            <v>0.29190259192408441</v>
          </cell>
          <cell r="G151">
            <v>0.10025552671926556</v>
          </cell>
          <cell r="H151">
            <v>5.6718222809635501E-3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1.9589687378076073E-3</v>
          </cell>
          <cell r="E152">
            <v>2.3071957724398844E-3</v>
          </cell>
          <cell r="F152">
            <v>2.4617403288687244E-3</v>
          </cell>
          <cell r="G152">
            <v>8.703687360595106E-4</v>
          </cell>
          <cell r="H152">
            <v>4.5159956196744972E-5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4.1817905986837253E-3</v>
          </cell>
          <cell r="E153">
            <v>4.8615118563603323E-3</v>
          </cell>
          <cell r="F153">
            <v>5.1755778709944057E-3</v>
          </cell>
          <cell r="G153">
            <v>1.7775802609798861E-3</v>
          </cell>
          <cell r="H153">
            <v>1.0056422483977918E-4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8.3267299665851192E-6</v>
          </cell>
          <cell r="F154">
            <v>1.2506179179328499E-5</v>
          </cell>
          <cell r="G154">
            <v>5.7047301856917196E-6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1.5112174236928E-4</v>
          </cell>
          <cell r="E155">
            <v>1.6466132860682789E-4</v>
          </cell>
          <cell r="F155">
            <v>1.7683817786660221E-4</v>
          </cell>
          <cell r="G155">
            <v>6.0451706103638309E-5</v>
          </cell>
          <cell r="H155">
            <v>3.1731713639566216E-6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2.7140244868660268</v>
          </cell>
          <cell r="E156">
            <v>2.6677807052982199</v>
          </cell>
          <cell r="F156">
            <v>2.4919303507431794</v>
          </cell>
          <cell r="G156">
            <v>6.8058035634800354E-2</v>
          </cell>
          <cell r="H156">
            <v>5.2494516172348904E-3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3.285204710995477E-2</v>
          </cell>
          <cell r="E157">
            <v>3.2231478383249752E-2</v>
          </cell>
          <cell r="F157">
            <v>3.0025357592683686E-2</v>
          </cell>
          <cell r="G157">
            <v>6.7521424575082598E-4</v>
          </cell>
          <cell r="H157">
            <v>4.0629829064841857E-5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4.8121001540177753E-2</v>
          </cell>
          <cell r="E158">
            <v>4.7301076335074875E-2</v>
          </cell>
          <cell r="F158">
            <v>4.4183162247219541E-2</v>
          </cell>
          <cell r="G158">
            <v>1.206702759482277E-3</v>
          </cell>
          <cell r="H158">
            <v>9.3075383284306622E-5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8.5483624542595298E-6</v>
          </cell>
          <cell r="F159">
            <v>1.3137523970796799E-5</v>
          </cell>
          <cell r="G159">
            <v>6.3438073435387403E-6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2.5417120096208252E-3</v>
          </cell>
          <cell r="F160">
            <v>2.3756271918454414E-3</v>
          </cell>
          <cell r="G160">
            <v>5.514826628989669E-5</v>
          </cell>
          <cell r="H160">
            <v>3.4525770381117742E-6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7.9636583048228404E-2</v>
          </cell>
          <cell r="F161">
            <v>0.1443242720884732</v>
          </cell>
          <cell r="G161">
            <v>0.19226359947472399</v>
          </cell>
          <cell r="H161">
            <v>3.3711721651541023E-2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5.593728370493318E-4</v>
          </cell>
          <cell r="F162">
            <v>1.0529816133726512E-3</v>
          </cell>
          <cell r="G162">
            <v>1.4656325200859861E-3</v>
          </cell>
          <cell r="H162">
            <v>2.7222331354559328E-4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1.0790864911684051E-3</v>
          </cell>
          <cell r="F163">
            <v>1.9556134429332423E-3</v>
          </cell>
          <cell r="G163">
            <v>2.6051978248607575E-3</v>
          </cell>
          <cell r="H163">
            <v>4.5679839636234411E-4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6.5402323035059905E-5</v>
          </cell>
          <cell r="F164">
            <v>9.4726008902402606E-5</v>
          </cell>
          <cell r="G164">
            <v>7.80007386652852E-5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6.4531612038107799E-5</v>
          </cell>
          <cell r="F165">
            <v>1.5430281484123801E-4</v>
          </cell>
          <cell r="G165">
            <v>2.0496749831910499E-4</v>
          </cell>
          <cell r="H165">
            <v>3.7786523256818802E-5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  <cell r="H166">
            <v>3.2006602244411902E-2</v>
          </cell>
          <cell r="I166">
            <v>3.3071687199031086E-2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  <cell r="H167">
            <v>0.47237229295618205</v>
          </cell>
          <cell r="I167">
            <v>0.48809144422268164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6.2817336751195593E-2</v>
          </cell>
          <cell r="F168">
            <v>0.17392617684296841</v>
          </cell>
          <cell r="G168">
            <v>0.21739753061571179</v>
          </cell>
          <cell r="H168">
            <v>3.2066870146602797E-2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3.5523043249403131E-4</v>
          </cell>
          <cell r="F169">
            <v>1.0297011123900149E-3</v>
          </cell>
          <cell r="G169">
            <v>1.3352659776670584E-3</v>
          </cell>
          <cell r="H169">
            <v>2.0822054681107066E-4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8.5118342481294864E-4</v>
          </cell>
          <cell r="F170">
            <v>2.3567232634548511E-3</v>
          </cell>
          <cell r="G170">
            <v>2.9457659975028697E-3</v>
          </cell>
          <cell r="H170">
            <v>4.345104355908243E-4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2.97329394194571E-5</v>
          </cell>
          <cell r="F171">
            <v>6.4458273542912102E-5</v>
          </cell>
          <cell r="G171">
            <v>3.4377435509603301E-5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2.9337100309730801E-5</v>
          </cell>
          <cell r="F172">
            <v>9.1258014161575707E-5</v>
          </cell>
          <cell r="G172">
            <v>1.10713093752412E-4</v>
          </cell>
          <cell r="H172">
            <v>1.8549480398868101E-5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6.3095217444147297E-2</v>
          </cell>
          <cell r="F173">
            <v>0.11137991840406621</v>
          </cell>
          <cell r="G173">
            <v>0.14614711417212639</v>
          </cell>
          <cell r="H173">
            <v>2.4888581237005221E-2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4.8378920559917049E-4</v>
          </cell>
          <cell r="F174">
            <v>8.8051050180854452E-4</v>
          </cell>
          <cell r="G174">
            <v>1.1969953513115694E-3</v>
          </cell>
          <cell r="H174">
            <v>2.1418575579136852E-4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8.6078059268959489E-4</v>
          </cell>
          <cell r="F175">
            <v>1.5195077544893079E-3</v>
          </cell>
          <cell r="G175">
            <v>1.9938214757452442E-3</v>
          </cell>
          <cell r="H175">
            <v>3.3954408236023501E-4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5.6568860879625701E-5</v>
          </cell>
          <cell r="F176">
            <v>7.6422481318436097E-5</v>
          </cell>
          <cell r="G176">
            <v>5.9881020036987103E-5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5.5815751097477102E-5</v>
          </cell>
          <cell r="F177">
            <v>1.28025988338014E-4</v>
          </cell>
          <cell r="G177">
            <v>1.6531337953215201E-4</v>
          </cell>
          <cell r="H177">
            <v>2.93176370979004E-5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8.2890655027651097E-2</v>
          </cell>
          <cell r="F178">
            <v>0.2065099021369784</v>
          </cell>
          <cell r="G178">
            <v>0.23643423414754977</v>
          </cell>
          <cell r="H178">
            <v>3.1858808405704202E-2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4.357598911547537E-4</v>
          </cell>
          <cell r="F179">
            <v>1.13370820081773E-3</v>
          </cell>
          <cell r="G179">
            <v>1.342555004277149E-3</v>
          </cell>
          <cell r="H179">
            <v>1.9232562367116069E-4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1.1231796074207471E-3</v>
          </cell>
          <cell r="F180">
            <v>2.79823715632762E-3</v>
          </cell>
          <cell r="G180">
            <v>3.2037159098584067E-3</v>
          </cell>
          <cell r="H180">
            <v>4.3169117080899965E-4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3.2222520588544201E-5</v>
          </cell>
          <cell r="F181">
            <v>5.5484896717114902E-5</v>
          </cell>
          <cell r="G181">
            <v>2.7841111406776799E-5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3.1793537308991203E-5</v>
          </cell>
          <cell r="F182">
            <v>8.47199350377022E-5</v>
          </cell>
          <cell r="G182">
            <v>9.85910739185708E-5</v>
          </cell>
          <cell r="H182">
            <v>1.52965945460036E-5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5.15264168044825E-2</v>
          </cell>
          <cell r="F183">
            <v>0.13440554449432152</v>
          </cell>
          <cell r="G183">
            <v>0.16317027771033671</v>
          </cell>
          <cell r="H183">
            <v>2.3986601976322831E-2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3.1780584100202312E-4</v>
          </cell>
          <cell r="F184">
            <v>8.6012353083112739E-4</v>
          </cell>
          <cell r="G184">
            <v>1.0770911936659891E-3</v>
          </cell>
          <cell r="H184">
            <v>1.6627630839476706E-4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7.0295248027943391E-4</v>
          </cell>
          <cell r="F185">
            <v>1.8336363505364471E-3</v>
          </cell>
          <cell r="G185">
            <v>2.2260610874534322E-3</v>
          </cell>
          <cell r="H185">
            <v>3.2723877184615019E-4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2.6358675137073601E-5</v>
          </cell>
          <cell r="F186">
            <v>4.9953836161458E-5</v>
          </cell>
          <cell r="G186">
            <v>2.73257653892917E-5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2.6007758116975701E-5</v>
          </cell>
          <cell r="F187">
            <v>7.3807901511613699E-5</v>
          </cell>
          <cell r="G187">
            <v>8.8925443384351295E-5</v>
          </cell>
          <cell r="H187">
            <v>1.4637463589820401E-5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0.10121725942680899</v>
          </cell>
          <cell r="F188">
            <v>0.26126233879024152</v>
          </cell>
          <cell r="G188">
            <v>0.29239967892065433</v>
          </cell>
          <cell r="H188">
            <v>3.7557043716493703E-2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5.3944765324679463E-4</v>
          </cell>
          <cell r="F189">
            <v>1.4542327173052091E-3</v>
          </cell>
          <cell r="G189">
            <v>1.6769475834293381E-3</v>
          </cell>
          <cell r="H189">
            <v>2.281243646202658E-4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1.3715075803090598E-3</v>
          </cell>
          <cell r="F190">
            <v>3.5401400920086865E-3</v>
          </cell>
          <cell r="G190">
            <v>3.9620552699275663E-3</v>
          </cell>
          <cell r="H190">
            <v>5.0890303138880399E-4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4.5472494730228397E-5</v>
          </cell>
          <cell r="F191">
            <v>8.5695570620754504E-5</v>
          </cell>
          <cell r="G191">
            <v>3.70374154434225E-5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4.4867112545267901E-5</v>
          </cell>
          <cell r="F192">
            <v>1.2685367069568501E-4</v>
          </cell>
          <cell r="G192">
            <v>1.4341160638548601E-4</v>
          </cell>
          <cell r="H192">
            <v>2.1341261960522499E-5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6.4621187644566702E-2</v>
          </cell>
          <cell r="F193">
            <v>0.1513110017986368</v>
          </cell>
          <cell r="G193">
            <v>0.17221756504362809</v>
          </cell>
          <cell r="H193">
            <v>2.3347404452172239E-2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3.7051963762347407E-4</v>
          </cell>
          <cell r="F194">
            <v>8.9819681371460598E-4</v>
          </cell>
          <cell r="G194">
            <v>1.0523508368413823E-3</v>
          </cell>
          <cell r="H194">
            <v>1.5051148014614177E-4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8.8159874003501584E-4</v>
          </cell>
          <cell r="F195">
            <v>2.0642701473211058E-3</v>
          </cell>
          <cell r="G195">
            <v>2.3494892911818314E-3</v>
          </cell>
          <cell r="H195">
            <v>3.1851847820153127E-4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2.7309278674822299E-5</v>
          </cell>
          <cell r="F196">
            <v>4.18713200375944E-5</v>
          </cell>
          <cell r="G196">
            <v>2.17423628015099E-5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2.6945706126363301E-5</v>
          </cell>
          <cell r="F197">
            <v>6.6717250245864495E-5</v>
          </cell>
          <cell r="G197">
            <v>7.7330386843171801E-5</v>
          </cell>
          <cell r="H197">
            <v>1.18239713709161E-5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0.39211465074084201</v>
          </cell>
          <cell r="F198">
            <v>0.45735993392071039</v>
          </cell>
          <cell r="G198">
            <v>7.1038077751069606E-4</v>
          </cell>
          <cell r="H198">
            <v>3.90861260475742E-3</v>
          </cell>
          <cell r="I198">
            <v>2.0727119399185099E-3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8.693588348443527E-4</v>
          </cell>
          <cell r="F199">
            <v>1.0219771203458102E-3</v>
          </cell>
          <cell r="G199">
            <v>1.7019730903712875E-6</v>
          </cell>
          <cell r="H199">
            <v>1.0912570037734643E-5</v>
          </cell>
          <cell r="I199">
            <v>5.7445528023478558E-6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5.3494495326172221E-3</v>
          </cell>
          <cell r="F200">
            <v>6.2395625364353438E-3</v>
          </cell>
          <cell r="G200">
            <v>9.6914157914146949E-6</v>
          </cell>
          <cell r="H200">
            <v>5.3323500747031701E-5</v>
          </cell>
          <cell r="I200">
            <v>2.8277106956596317E-5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1.9277466994945801E-5</v>
          </cell>
          <cell r="F201">
            <v>3.9219977421308001E-6</v>
          </cell>
          <cell r="G201">
            <v>2.7784234743180601E-8</v>
          </cell>
          <cell r="H201">
            <v>2.27503315000521E-7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1.9277466994945801E-5</v>
          </cell>
          <cell r="F202">
            <v>2.3121776779312647E-5</v>
          </cell>
          <cell r="G202">
            <v>7.1752040971000857E-8</v>
          </cell>
          <cell r="H202">
            <v>2.0145032669558101E-7</v>
          </cell>
          <cell r="I202">
            <v>1.4319442386435999E-7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5.0379179061645102E-2</v>
          </cell>
          <cell r="F203">
            <v>0.11193953347603999</v>
          </cell>
          <cell r="G203">
            <v>0.1281380534800946</v>
          </cell>
          <cell r="H203">
            <v>1.8093339525375028E-2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2.7453150050397258E-4</v>
          </cell>
          <cell r="F204">
            <v>6.3052162313845337E-4</v>
          </cell>
          <cell r="G204">
            <v>7.4390989463436025E-4</v>
          </cell>
          <cell r="H204">
            <v>1.1074693822130691E-4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6.8730121502926487E-4</v>
          </cell>
          <cell r="F205">
            <v>1.5271423393729878E-3</v>
          </cell>
          <cell r="G205">
            <v>1.748131698227759E-3</v>
          </cell>
          <cell r="H205">
            <v>2.4683955696282384E-4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2.3447879140436601E-5</v>
          </cell>
          <cell r="F206">
            <v>3.3614590747648302E-5</v>
          </cell>
          <cell r="G206">
            <v>1.9040185629487399E-5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2.31357139867335E-5</v>
          </cell>
          <cell r="F207">
            <v>5.4978530829482002E-5</v>
          </cell>
          <cell r="G207">
            <v>6.4722401265688897E-5</v>
          </cell>
          <cell r="H207">
            <v>1.0099618859383701E-5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4.2303787127995499E-2</v>
          </cell>
          <cell r="F208">
            <v>7.9252738268331097E-2</v>
          </cell>
          <cell r="G208">
            <v>1.6523358603704888E-3</v>
          </cell>
          <cell r="H208">
            <v>5.9128267666666602E-3</v>
          </cell>
          <cell r="I208">
            <v>2.8901790157719928E-3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6.7232395644745965E-5</v>
          </cell>
          <cell r="F209">
            <v>1.2883426398991332E-4</v>
          </cell>
          <cell r="G209">
            <v>2.7845169340393481E-6</v>
          </cell>
          <cell r="H209">
            <v>1.1831472024609301E-5</v>
          </cell>
          <cell r="I209">
            <v>5.7786760961579563E-6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5.7713215727142511E-4</v>
          </cell>
          <cell r="F210">
            <v>1.0812106175761406E-3</v>
          </cell>
          <cell r="G210">
            <v>2.2542099050074886E-5</v>
          </cell>
          <cell r="H210">
            <v>8.0666122328330872E-5</v>
          </cell>
          <cell r="I210">
            <v>3.9429454512578349E-5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1.58814646600409E-6</v>
          </cell>
          <cell r="F211">
            <v>1.3745189881755101E-6</v>
          </cell>
          <cell r="G211">
            <v>2.8548727494935799E-8</v>
          </cell>
          <cell r="H211">
            <v>2.28282937578836E-7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1.58814646600409E-6</v>
          </cell>
          <cell r="F212">
            <v>2.9626654541796001E-6</v>
          </cell>
          <cell r="G212">
            <v>7.7014786081539967E-8</v>
          </cell>
          <cell r="H212">
            <v>1.54581231436564E-7</v>
          </cell>
          <cell r="I212">
            <v>1.19967181847355E-7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0.41618583232497658</v>
          </cell>
          <cell r="E213">
            <v>0.36070656532364753</v>
          </cell>
          <cell r="F213">
            <v>0.27745862694424839</v>
          </cell>
          <cell r="G213">
            <v>0.13873278789190563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0.46788107972183463</v>
          </cell>
          <cell r="E214">
            <v>0.37693537872146082</v>
          </cell>
          <cell r="F214">
            <v>0.26222457670959515</v>
          </cell>
          <cell r="G214">
            <v>0.11309625621985243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2.8026307801264135E-2</v>
          </cell>
          <cell r="G215">
            <v>1.4013308667020665E-2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8916.7682465539801</v>
          </cell>
          <cell r="E216">
            <v>8259.8834144447192</v>
          </cell>
          <cell r="F216">
            <v>7071.85813281432</v>
          </cell>
          <cell r="G216">
            <v>4068.07719011162</v>
          </cell>
          <cell r="H216">
            <v>1499.4220309203799</v>
          </cell>
          <cell r="I216">
            <v>638.77297443697603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119.85984292702868</v>
          </cell>
          <cell r="E217">
            <v>111.02994955975512</v>
          </cell>
          <cell r="F217">
            <v>95.060427899865402</v>
          </cell>
          <cell r="G217">
            <v>54.683387471716152</v>
          </cell>
          <cell r="H217">
            <v>20.155339259478797</v>
          </cell>
          <cell r="I217">
            <v>8.5864324680229167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121.64758862965854</v>
          </cell>
          <cell r="E218">
            <v>112.68599474003712</v>
          </cell>
          <cell r="F218">
            <v>96.478282848762859</v>
          </cell>
          <cell r="G218">
            <v>55.499006686379374</v>
          </cell>
          <cell r="H218">
            <v>20.455962222651877</v>
          </cell>
          <cell r="I218">
            <v>8.7145016976395056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2.68646200824098E-2</v>
          </cell>
          <cell r="F219">
            <v>4.8181435409800501E-2</v>
          </cell>
          <cell r="G219">
            <v>9.4215971595677291E-3</v>
          </cell>
          <cell r="H219">
            <v>6.1846132044928503E-5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2.867361255762765E-5</v>
          </cell>
          <cell r="F220">
            <v>5.2539892934652515E-5</v>
          </cell>
          <cell r="G220">
            <v>1.0549425347611308E-5</v>
          </cell>
          <cell r="H220">
            <v>8.3304117988831401E-8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3.6650232036029715E-4</v>
          </cell>
          <cell r="F221">
            <v>6.5731835484038889E-4</v>
          </cell>
          <cell r="G221">
            <v>1.2853474978946435E-4</v>
          </cell>
          <cell r="H221">
            <v>8.4373986418729216E-7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6.8403524567420401E-7</v>
          </cell>
          <cell r="F222">
            <v>5.3562631538124801E-7</v>
          </cell>
          <cell r="G222">
            <v>6.5789573306843504E-8</v>
          </cell>
          <cell r="H222">
            <v>1.85560217265961E-8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6.8403524567420401E-7</v>
          </cell>
          <cell r="F223">
            <v>1.2196615610554499E-6</v>
          </cell>
          <cell r="G223">
            <v>2.4839152064554601E-7</v>
          </cell>
          <cell r="H223">
            <v>1.8848072715450297E-8</v>
          </cell>
          <cell r="I223">
            <v>6.3558316964087897E-9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8.1636663523867291E-3</v>
          </cell>
          <cell r="E224">
            <v>1.4195334520507448E-2</v>
          </cell>
          <cell r="F224">
            <v>1.0787262156027938E-2</v>
          </cell>
          <cell r="G224">
            <v>0.62318119564286145</v>
          </cell>
          <cell r="H224">
            <v>2.3120061723475387</v>
          </cell>
          <cell r="I224">
            <v>4.2875742780367538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8.1636663523867274E-3</v>
          </cell>
          <cell r="E225">
            <v>1.4195334520507447E-2</v>
          </cell>
          <cell r="F225">
            <v>1.0787262156027938E-2</v>
          </cell>
          <cell r="G225">
            <v>0.62318119564286145</v>
          </cell>
          <cell r="H225">
            <v>2.3120061723475382</v>
          </cell>
          <cell r="I225">
            <v>4.2875742780367538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8.1695880183618903E-3</v>
          </cell>
          <cell r="E226">
            <v>1.4221414371628443E-2</v>
          </cell>
          <cell r="F226">
            <v>1.0871381105825069E-2</v>
          </cell>
          <cell r="G226">
            <v>0.62330836757634001</v>
          </cell>
          <cell r="H226">
            <v>2.3122852615215415</v>
          </cell>
          <cell r="I226">
            <v>4.2880459371654958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8.1695880183618903E-3</v>
          </cell>
          <cell r="E227">
            <v>1.4221414371628443E-2</v>
          </cell>
          <cell r="F227">
            <v>1.0871381105825069E-2</v>
          </cell>
          <cell r="G227">
            <v>0.62330836757634001</v>
          </cell>
          <cell r="H227">
            <v>2.3122852615215415</v>
          </cell>
          <cell r="I227">
            <v>4.2880459371654958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1.3733005354890601E-2</v>
          </cell>
          <cell r="E228">
            <v>3.6803887089837298E-2</v>
          </cell>
          <cell r="F228">
            <v>2.2150967148714999E-2</v>
          </cell>
          <cell r="G228">
            <v>8.3344455866861509</v>
          </cell>
          <cell r="H228">
            <v>10.0246708697887</v>
          </cell>
          <cell r="I228">
            <v>19.9454669310459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1.3733005354890601E-2</v>
          </cell>
          <cell r="E229">
            <v>4.9646915947723719E-2</v>
          </cell>
          <cell r="F229">
            <v>6.8474957572401296E-2</v>
          </cell>
          <cell r="G229">
            <v>7.9584382454506235</v>
          </cell>
          <cell r="H229">
            <v>25.864374273645307</v>
          </cell>
          <cell r="I229">
            <v>25.902375254156023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8.2148657716648293E-3</v>
          </cell>
          <cell r="F230">
            <v>1.5077039900081659E-2</v>
          </cell>
          <cell r="G230">
            <v>4.08610284260559E-4</v>
          </cell>
          <cell r="I230">
            <v>4.4975553944374402E-5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5.911950852245462E-6</v>
          </cell>
          <cell r="F231">
            <v>1.1085898690664873E-5</v>
          </cell>
          <cell r="G231">
            <v>2.940624941922711E-7</v>
          </cell>
          <cell r="I231">
            <v>4.0911656987471002E-8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1.1207183863117091E-4</v>
          </cell>
          <cell r="F232">
            <v>2.0568949386195985E-4</v>
          </cell>
          <cell r="G232">
            <v>5.574492281863019E-6</v>
          </cell>
          <cell r="I232">
            <v>6.1358190920019799E-7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1.4157759621610599E-7</v>
          </cell>
          <cell r="F233">
            <v>1.1787179357545001E-7</v>
          </cell>
          <cell r="G233">
            <v>1.9692826226055201E-8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1.4157759621610599E-7</v>
          </cell>
          <cell r="F234">
            <v>2.5944938979155601E-7</v>
          </cell>
          <cell r="G234">
            <v>4.7562723045296994E-8</v>
          </cell>
          <cell r="H234">
            <v>-3.2822121386007502E-8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1409.9305637725499</v>
          </cell>
          <cell r="E235">
            <v>1140.6541660313401</v>
          </cell>
          <cell r="F235">
            <v>841.66237899831106</v>
          </cell>
          <cell r="G235">
            <v>362.96583715064401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1.5763843476937038</v>
          </cell>
          <cell r="E236">
            <v>1.3071026953560534</v>
          </cell>
          <cell r="F236">
            <v>0.99966105192701704</v>
          </cell>
          <cell r="G236">
            <v>0.43110256515375439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19.235069082845179</v>
          </cell>
          <cell r="E237">
            <v>15.561448376962332</v>
          </cell>
          <cell r="F237">
            <v>11.482433547043794</v>
          </cell>
          <cell r="G237">
            <v>4.9517849543061985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1.9774656406834484E-2</v>
          </cell>
          <cell r="G238">
            <v>9.8871695824820725E-3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0.72183400912974205</v>
          </cell>
          <cell r="F239">
            <v>6.8224516894596296E-4</v>
          </cell>
          <cell r="G239">
            <v>4.2305371377450798E-4</v>
          </cell>
          <cell r="H239">
            <v>5.7647700906443805E-4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58.771655782486697</v>
          </cell>
          <cell r="F240">
            <v>5.55483362122242E-2</v>
          </cell>
          <cell r="G240">
            <v>3.4444992794720297E-2</v>
          </cell>
          <cell r="H240">
            <v>4.6936702780324399E-2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0.79636389949169162</v>
          </cell>
          <cell r="F241">
            <v>7.5268748255046534E-4</v>
          </cell>
          <cell r="G241">
            <v>4.6673431971165852E-4</v>
          </cell>
          <cell r="H241">
            <v>6.359986826602232E-4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3.4996017919277202E-6</v>
          </cell>
          <cell r="E242">
            <v>4.7099386068669696E-6</v>
          </cell>
          <cell r="F242">
            <v>5.7606726667924903E-6</v>
          </cell>
          <cell r="G242">
            <v>5.3046422249369801E-6</v>
          </cell>
          <cell r="H242">
            <v>3.0125216226706899E-5</v>
          </cell>
          <cell r="I242">
            <v>5.2636752724069902E-6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1.5951148478189818</v>
          </cell>
          <cell r="E243">
            <v>1.5951195577575887</v>
          </cell>
          <cell r="F243">
            <v>6.9190914926542391E-4</v>
          </cell>
          <cell r="G243">
            <v>4.1236939387045979E-4</v>
          </cell>
          <cell r="H243">
            <v>1.4865545958231419E-4</v>
          </cell>
          <cell r="I243">
            <v>-1.0225620795226305E-5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6.5580469032219771E-2</v>
          </cell>
          <cell r="E244">
            <v>0.1074943057663459</v>
          </cell>
          <cell r="F244">
            <v>0.1313448676778145</v>
          </cell>
          <cell r="G244">
            <v>4.6812284871044048</v>
          </cell>
          <cell r="H244">
            <v>12.018670390909694</v>
          </cell>
          <cell r="I244">
            <v>12.044115058763525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6.5580469032219743E-2</v>
          </cell>
          <cell r="E245">
            <v>0.1074943057663459</v>
          </cell>
          <cell r="F245">
            <v>0.1313448676778145</v>
          </cell>
          <cell r="G245">
            <v>4.6812284871044039</v>
          </cell>
          <cell r="H245">
            <v>12.018670390909694</v>
          </cell>
          <cell r="I245">
            <v>12.044115058763525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6.5592755535880176E-2</v>
          </cell>
          <cell r="E246">
            <v>0.10751772257937188</v>
          </cell>
          <cell r="F246">
            <v>0.1314232178446422</v>
          </cell>
          <cell r="G246">
            <v>4.6817386169705673</v>
          </cell>
          <cell r="H246">
            <v>12.01992245669115</v>
          </cell>
          <cell r="I246">
            <v>12.045357644652734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6.5592755535880176E-2</v>
          </cell>
          <cell r="E247">
            <v>0.10751772257937188</v>
          </cell>
          <cell r="F247">
            <v>0.1314232178446422</v>
          </cell>
          <cell r="G247">
            <v>4.6817386169705673</v>
          </cell>
          <cell r="H247">
            <v>12.01992245669115</v>
          </cell>
          <cell r="I247">
            <v>12.045357644652734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1.8377863734198401E-2</v>
          </cell>
          <cell r="E248">
            <v>8.9603734060797996E-2</v>
          </cell>
          <cell r="F248">
            <v>0.45564335987585403</v>
          </cell>
          <cell r="G248">
            <v>71.945601157153106</v>
          </cell>
          <cell r="H248">
            <v>85.2877282063004</v>
          </cell>
          <cell r="I248">
            <v>177.21554531458199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1.8377863734198401E-2</v>
          </cell>
          <cell r="E249">
            <v>0.10625551483939649</v>
          </cell>
          <cell r="F249">
            <v>0.54950986458084283</v>
          </cell>
          <cell r="G249">
            <v>68.689106410401124</v>
          </cell>
          <cell r="H249">
            <v>248.96247018336996</v>
          </cell>
          <cell r="I249">
            <v>234.91100173727546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3.265934960617455</v>
          </cell>
          <cell r="E250">
            <v>12.267521969849327</v>
          </cell>
          <cell r="F250">
            <v>24.634246434836605</v>
          </cell>
          <cell r="G250">
            <v>43.84198556887597</v>
          </cell>
          <cell r="H250">
            <v>8.9314105147357061</v>
          </cell>
          <cell r="I250">
            <v>1.0777049038964728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8.4431217603619726E-2</v>
          </cell>
          <cell r="E251">
            <v>0.3192683129226262</v>
          </cell>
          <cell r="F251">
            <v>0.6464729653556226</v>
          </cell>
          <cell r="G251">
            <v>1.1717003007331008</v>
          </cell>
          <cell r="H251">
            <v>0.24553509583291891</v>
          </cell>
          <cell r="I251">
            <v>2.9944592156476647E-2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4.4253861254979134E-2</v>
          </cell>
          <cell r="E252">
            <v>0.16622658495730791</v>
          </cell>
          <cell r="F252">
            <v>0.33379737716580765</v>
          </cell>
          <cell r="G252">
            <v>0.5940648451067192</v>
          </cell>
          <cell r="H252">
            <v>0.12102182269289563</v>
          </cell>
          <cell r="I252">
            <v>1.4603047478272001E-2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7.6938121053679503E-2</v>
          </cell>
          <cell r="F253">
            <v>0.112794939770092</v>
          </cell>
          <cell r="G253">
            <v>0.22942697359241401</v>
          </cell>
          <cell r="H253">
            <v>1.31383470993397E-3</v>
          </cell>
          <cell r="I253">
            <v>3.2225061270124998E-4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2.9121085797654288E-2</v>
          </cell>
          <cell r="E254">
            <v>0.10990586280380847</v>
          </cell>
          <cell r="F254">
            <v>0.22270122992112604</v>
          </cell>
          <cell r="G254">
            <v>0.42681141680509027</v>
          </cell>
          <cell r="H254">
            <v>0.11791623503211029</v>
          </cell>
          <cell r="I254">
            <v>1.4311714407573848E-2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17.176565170588599</v>
          </cell>
          <cell r="F255">
            <v>17.0236544848565</v>
          </cell>
          <cell r="G255">
            <v>16.149982212462401</v>
          </cell>
          <cell r="H255">
            <v>16.149649448061702</v>
          </cell>
          <cell r="I255">
            <v>16.1479795801887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1273.9863671754299</v>
          </cell>
          <cell r="F256">
            <v>1262.64497691006</v>
          </cell>
          <cell r="G256">
            <v>1197.8446775862301</v>
          </cell>
          <cell r="H256">
            <v>1197.8199964404</v>
          </cell>
          <cell r="I256">
            <v>1197.6961422888801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17.380441571288081</v>
          </cell>
          <cell r="F257">
            <v>17.225715919645971</v>
          </cell>
          <cell r="G257">
            <v>16.341673636919939</v>
          </cell>
          <cell r="H257">
            <v>16.341336922788631</v>
          </cell>
          <cell r="I257">
            <v>16.339647234500429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6.8061454243922004E-6</v>
          </cell>
          <cell r="E258">
            <v>5.2361135707461201E-5</v>
          </cell>
          <cell r="F258">
            <v>1.2752289419246401E-5</v>
          </cell>
          <cell r="G258">
            <v>6.5125834970509997E-6</v>
          </cell>
          <cell r="H258">
            <v>10.4981788273895</v>
          </cell>
          <cell r="I258">
            <v>5.6496530040622401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17.176528725153126</v>
          </cell>
          <cell r="E259">
            <v>17.176581086288834</v>
          </cell>
          <cell r="F259">
            <v>17.0236683473581</v>
          </cell>
          <cell r="G259">
            <v>16.149968105110059</v>
          </cell>
          <cell r="H259">
            <v>16.149385977357241</v>
          </cell>
          <cell r="I259">
            <v>16.14782767238049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4.5326542653987681E-2</v>
          </cell>
          <cell r="E260">
            <v>9.8941016181965061E-2</v>
          </cell>
          <cell r="F260">
            <v>0.30346037545319299</v>
          </cell>
          <cell r="G260">
            <v>0.77748502900409622</v>
          </cell>
          <cell r="H260">
            <v>5.2201392461040825</v>
          </cell>
          <cell r="I260">
            <v>10.847749973509201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4.5326542653987674E-2</v>
          </cell>
          <cell r="E261">
            <v>9.8941016181965061E-2</v>
          </cell>
          <cell r="F261">
            <v>0.30346037545319299</v>
          </cell>
          <cell r="G261">
            <v>0.777485029004096</v>
          </cell>
          <cell r="H261">
            <v>5.2201392461040816</v>
          </cell>
          <cell r="I261">
            <v>10.847749973509199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4.5337855549862326E-2</v>
          </cell>
          <cell r="E262">
            <v>9.8963528675842169E-2</v>
          </cell>
          <cell r="F262">
            <v>0.30354456855823314</v>
          </cell>
          <cell r="G262">
            <v>0.77760381629376063</v>
          </cell>
          <cell r="H262">
            <v>5.2207114762546221</v>
          </cell>
          <cell r="I262">
            <v>10.848872855934623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4.5337855549862326E-2</v>
          </cell>
          <cell r="E263">
            <v>9.8963528675842169E-2</v>
          </cell>
          <cell r="F263">
            <v>0.30354456855823314</v>
          </cell>
          <cell r="G263">
            <v>0.77760381629376063</v>
          </cell>
          <cell r="H263">
            <v>5.2207114762546221</v>
          </cell>
          <cell r="I263">
            <v>10.848872855934623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2.57943424268594E-2</v>
          </cell>
          <cell r="E264">
            <v>0.47000821809513899</v>
          </cell>
          <cell r="F264">
            <v>3.1358242630170201</v>
          </cell>
          <cell r="G264">
            <v>6.2052093694469699</v>
          </cell>
          <cell r="H264">
            <v>63.449889576025498</v>
          </cell>
          <cell r="I264">
            <v>133.63978184367099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2.57943424268594E-2</v>
          </cell>
          <cell r="E265">
            <v>0.48879365869132979</v>
          </cell>
          <cell r="F265">
            <v>3.5543735011543318</v>
          </cell>
          <cell r="G265">
            <v>8.9706795356337405</v>
          </cell>
          <cell r="H265">
            <v>71.775780332558043</v>
          </cell>
          <cell r="I265">
            <v>148.48959344114934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8.2828266275155293</v>
          </cell>
          <cell r="E266">
            <v>12.044992621570344</v>
          </cell>
          <cell r="F266">
            <v>12.00530655487553</v>
          </cell>
          <cell r="G266">
            <v>7.6112507228574682</v>
          </cell>
          <cell r="H266">
            <v>8.0742184188822896E-2</v>
          </cell>
          <cell r="I266">
            <v>3.9287609163327103E-2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0.12376686468704086</v>
          </cell>
          <cell r="E267">
            <v>0.18023711802857384</v>
          </cell>
          <cell r="F267">
            <v>0.17965700666504084</v>
          </cell>
          <cell r="G267">
            <v>0.11395350768667845</v>
          </cell>
          <cell r="H267">
            <v>1.290521096910765E-3</v>
          </cell>
          <cell r="I267">
            <v>6.4498576920349836E-4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0.11223342313706682</v>
          </cell>
          <cell r="E268">
            <v>0.16321128213509983</v>
          </cell>
          <cell r="F268">
            <v>0.16267353055386882</v>
          </cell>
          <cell r="G268">
            <v>0.10313347862950469</v>
          </cell>
          <cell r="H268">
            <v>1.0940675364339153E-3</v>
          </cell>
          <cell r="I268">
            <v>5.3235242768736007E-4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2.1985530896688601E-4</v>
          </cell>
          <cell r="F269">
            <v>2.4367694258795001E-4</v>
          </cell>
          <cell r="G269">
            <v>2.4740363597071499E-4</v>
          </cell>
          <cell r="H269">
            <v>1.5586649857542501E-4</v>
          </cell>
          <cell r="I269">
            <v>8.0963355486213807E-5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4.2719663092343936E-2</v>
          </cell>
          <cell r="E270">
            <v>6.2090447748807634E-2</v>
          </cell>
          <cell r="F270">
            <v>6.2335127584181672E-2</v>
          </cell>
          <cell r="G270">
            <v>5.4289427272138049E-2</v>
          </cell>
          <cell r="H270">
            <v>5.3831446585046933E-4</v>
          </cell>
          <cell r="I270">
            <v>2.6953427531838168E-4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0.15022060333267956</v>
          </cell>
          <cell r="E271">
            <v>1.0557688195204455</v>
          </cell>
          <cell r="F271">
            <v>3.4077691435641309</v>
          </cell>
          <cell r="G271">
            <v>11.009156914923098</v>
          </cell>
          <cell r="H271">
            <v>16.906525817461038</v>
          </cell>
          <cell r="I271">
            <v>16.903666203212214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0.15022060333267956</v>
          </cell>
          <cell r="E272">
            <v>1.0557688195204455</v>
          </cell>
          <cell r="F272">
            <v>3.4077691435641309</v>
          </cell>
          <cell r="G272">
            <v>11.009156914923098</v>
          </cell>
          <cell r="H272">
            <v>16.906525817461034</v>
          </cell>
          <cell r="I272">
            <v>16.903666203212211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0.15024249493774205</v>
          </cell>
          <cell r="E273">
            <v>1.0558870243619249</v>
          </cell>
          <cell r="F273">
            <v>3.408163871949319</v>
          </cell>
          <cell r="G273">
            <v>11.01029911843092</v>
          </cell>
          <cell r="H273">
            <v>16.908261325902043</v>
          </cell>
          <cell r="I273">
            <v>16.905394866226736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0.15024249493774205</v>
          </cell>
          <cell r="E274">
            <v>1.0558870243619249</v>
          </cell>
          <cell r="F274">
            <v>3.408163871949319</v>
          </cell>
          <cell r="G274">
            <v>11.01029911843092</v>
          </cell>
          <cell r="H274">
            <v>16.908261325902043</v>
          </cell>
          <cell r="I274">
            <v>16.905394866226736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3.4481090128459999E-2</v>
          </cell>
          <cell r="E275">
            <v>12.8767953299665</v>
          </cell>
          <cell r="F275">
            <v>39.1782519466298</v>
          </cell>
          <cell r="G275">
            <v>132.36413807264901</v>
          </cell>
          <cell r="H275">
            <v>128.03582478637099</v>
          </cell>
          <cell r="I275">
            <v>256.50246287704601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3.4481090128459999E-2</v>
          </cell>
          <cell r="E276">
            <v>12.738841737587785</v>
          </cell>
          <cell r="F276">
            <v>50.659030195694612</v>
          </cell>
          <cell r="G276">
            <v>169.08772806932382</v>
          </cell>
          <cell r="H276">
            <v>287.51763221485896</v>
          </cell>
          <cell r="I276">
            <v>315.69744393771094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12.003066320457229</v>
          </cell>
          <cell r="E277">
            <v>14.837340669350816</v>
          </cell>
          <cell r="F277">
            <v>15.531975686483673</v>
          </cell>
          <cell r="G277">
            <v>14.601600757640616</v>
          </cell>
          <cell r="H277">
            <v>3.4520713713495779</v>
          </cell>
          <cell r="I277">
            <v>4.2828637993188493E-2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0.11863632008277257</v>
          </cell>
          <cell r="E278">
            <v>0.14680120660530901</v>
          </cell>
          <cell r="F278">
            <v>0.15367930926645534</v>
          </cell>
          <cell r="G278">
            <v>0.144484610112807</v>
          </cell>
          <cell r="H278">
            <v>3.423764368591721E-2</v>
          </cell>
          <cell r="I278">
            <v>4.599625187258552E-4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0.16264317507394643</v>
          </cell>
          <cell r="E279">
            <v>0.20104797654946932</v>
          </cell>
          <cell r="F279">
            <v>0.21046037515560542</v>
          </cell>
          <cell r="G279">
            <v>0.19785366880271796</v>
          </cell>
          <cell r="H279">
            <v>4.6776034842135231E-2</v>
          </cell>
          <cell r="I279">
            <v>5.8033384814618614E-4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1.0191701766629E-4</v>
          </cell>
          <cell r="F280">
            <v>1.07379788376854E-4</v>
          </cell>
          <cell r="G280">
            <v>1.02480446256122E-4</v>
          </cell>
          <cell r="H280">
            <v>5.6629798639287701E-5</v>
          </cell>
          <cell r="I280">
            <v>3.96297278213064E-5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5.3231199391419397E-2</v>
          </cell>
          <cell r="E281">
            <v>6.9108558555894858E-2</v>
          </cell>
          <cell r="F281">
            <v>6.9217984327730006E-2</v>
          </cell>
          <cell r="G281">
            <v>6.9320951801365951E-2</v>
          </cell>
          <cell r="H281">
            <v>1.6314972452283662E-2</v>
          </cell>
          <cell r="I281">
            <v>1.8780193227119305E-4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4722.2887354194399</v>
          </cell>
          <cell r="E282">
            <v>3923.5155916593999</v>
          </cell>
          <cell r="F282">
            <v>3456.7312990615701</v>
          </cell>
          <cell r="G282">
            <v>876.89108487194198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18.302990007075156</v>
          </cell>
          <cell r="E283">
            <v>15.553100229935795</v>
          </cell>
          <cell r="F283">
            <v>14.160057912138276</v>
          </cell>
          <cell r="G283">
            <v>3.7854262625821686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63.987652241455855</v>
          </cell>
          <cell r="E284">
            <v>53.16416790866392</v>
          </cell>
          <cell r="F284">
            <v>46.839177494059236</v>
          </cell>
          <cell r="G284">
            <v>11.881993019945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1.6628846331711309</v>
          </cell>
          <cell r="G285">
            <v>0.83143683321700501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7.8168180738273598</v>
          </cell>
          <cell r="E286">
            <v>9.43894845433684</v>
          </cell>
          <cell r="F286">
            <v>9.8618520443719984</v>
          </cell>
          <cell r="G286">
            <v>9.3455158723140688</v>
          </cell>
          <cell r="H286">
            <v>8.4812358992911996</v>
          </cell>
          <cell r="I286">
            <v>0.10246859014300012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7.1580198798137568E-2</v>
          </cell>
          <cell r="E287">
            <v>8.6513725670300495E-2</v>
          </cell>
          <cell r="F287">
            <v>9.0393235041513934E-2</v>
          </cell>
          <cell r="G287">
            <v>8.5665722122496485E-2</v>
          </cell>
          <cell r="H287">
            <v>7.7766332715953568E-2</v>
          </cell>
          <cell r="I287">
            <v>9.6790576681734814E-4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0.10591894408980169</v>
          </cell>
          <cell r="E288">
            <v>0.12789903054656951</v>
          </cell>
          <cell r="F288">
            <v>0.13362943149555584</v>
          </cell>
          <cell r="G288">
            <v>0.12663300639991937</v>
          </cell>
          <cell r="H288">
            <v>0.11492189565435207</v>
          </cell>
          <cell r="I288">
            <v>1.3884632810704652E-3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5.9284853081604798E-5</v>
          </cell>
          <cell r="F289">
            <v>5.9929023951392398E-5</v>
          </cell>
          <cell r="G289">
            <v>4.90286047752801E-5</v>
          </cell>
          <cell r="H289">
            <v>3.5989430615672803E-5</v>
          </cell>
          <cell r="I289">
            <v>2.6094365680719E-5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3.2738933060471813E-2</v>
          </cell>
          <cell r="E290">
            <v>4.0915942878989912E-2</v>
          </cell>
          <cell r="F290">
            <v>4.0978069333555737E-2</v>
          </cell>
          <cell r="G290">
            <v>4.1027890183267315E-2</v>
          </cell>
          <cell r="H290">
            <v>3.7236995061359447E-2</v>
          </cell>
          <cell r="I290">
            <v>4.0944495602646689E-4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4146.98727153652</v>
          </cell>
          <cell r="E291">
            <v>3569.77768994795</v>
          </cell>
          <cell r="F291">
            <v>2560.34366030304</v>
          </cell>
          <cell r="G291">
            <v>1082.5542141395699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19.180155597738722</v>
          </cell>
          <cell r="E292">
            <v>17.23595185740113</v>
          </cell>
          <cell r="F292">
            <v>13.142559381328789</v>
          </cell>
          <cell r="G292">
            <v>6.1068663949905382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56.575542585764261</v>
          </cell>
          <cell r="E293">
            <v>48.700923464501322</v>
          </cell>
          <cell r="F293">
            <v>34.929654301542129</v>
          </cell>
          <cell r="G293">
            <v>14.768816018275245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0.70637181970802132</v>
          </cell>
          <cell r="G294">
            <v>0.35318570448770958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2.0415881123787979E-4</v>
          </cell>
          <cell r="F295">
            <v>3.1191302374149085E-4</v>
          </cell>
          <cell r="G295">
            <v>1.7062843743030495E-3</v>
          </cell>
          <cell r="H295">
            <v>2.2421935868893266E-3</v>
          </cell>
          <cell r="I295">
            <v>5.8661785339872441E-4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1.1208829629257294E-4</v>
          </cell>
          <cell r="F296">
            <v>1.712480554263814E-4</v>
          </cell>
          <cell r="G296">
            <v>9.3679281999454642E-4</v>
          </cell>
          <cell r="H296">
            <v>1.171233571790668E-3</v>
          </cell>
          <cell r="I296">
            <v>2.8853352180365031E-4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5.1055899884806183E-3</v>
          </cell>
          <cell r="E297">
            <v>1.2053541523173738E-2</v>
          </cell>
          <cell r="F297">
            <v>8.9893458130772454E-3</v>
          </cell>
          <cell r="G297">
            <v>2.0471771396220681E-2</v>
          </cell>
          <cell r="H297">
            <v>1.0899775146217282E-2</v>
          </cell>
          <cell r="I297">
            <v>4.7521806065737677E-3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3.3966232572715375E-3</v>
          </cell>
          <cell r="E298">
            <v>8.0189242697657221E-3</v>
          </cell>
          <cell r="F298">
            <v>5.9803903418106652E-3</v>
          </cell>
          <cell r="G298">
            <v>1.3619365244533135E-2</v>
          </cell>
          <cell r="H298">
            <v>6.7738880035069469E-3</v>
          </cell>
          <cell r="I298">
            <v>2.7520247222766136E-3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1.8352060537872938E-4</v>
          </cell>
          <cell r="F299">
            <v>2.9051369161401416E-4</v>
          </cell>
          <cell r="G299">
            <v>1.7963073267837837E-3</v>
          </cell>
          <cell r="H299">
            <v>2.3245437599446034E-3</v>
          </cell>
          <cell r="I299">
            <v>5.8498566197292406E-4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1.0075740482008984E-4</v>
          </cell>
          <cell r="F300">
            <v>1.5949928658596621E-4</v>
          </cell>
          <cell r="G300">
            <v>9.8621767366415154E-4</v>
          </cell>
          <cell r="H300">
            <v>1.2140599602123259E-3</v>
          </cell>
          <cell r="I300">
            <v>2.877550040277201E-4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  <cell r="H301">
            <v>3.9048512196511807E-2</v>
          </cell>
          <cell r="I301">
            <v>4.0347931071859175E-2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  <cell r="H302">
            <v>0.77325934733858914</v>
          </cell>
          <cell r="I302">
            <v>0.79899112903654423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0.1017474846918391</v>
          </cell>
          <cell r="F303">
            <v>0.22636608273642253</v>
          </cell>
          <cell r="G303">
            <v>1.547415787959119</v>
          </cell>
          <cell r="H303">
            <v>3.0978177264878428</v>
          </cell>
          <cell r="I303">
            <v>0.70228545531812681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7.2616344375688729E-2</v>
          </cell>
          <cell r="F304">
            <v>0.16155561455645648</v>
          </cell>
          <cell r="G304">
            <v>1.1043779420311288</v>
          </cell>
          <cell r="H304">
            <v>2.0123783866984724</v>
          </cell>
          <cell r="I304">
            <v>0.4143651550973555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3.58007026150041E-6</v>
          </cell>
          <cell r="E305">
            <v>1.7545270477381395E-4</v>
          </cell>
          <cell r="F305">
            <v>6.0019286587418793E-4</v>
          </cell>
          <cell r="G305">
            <v>2.7669557786582891E-3</v>
          </cell>
          <cell r="H305">
            <v>1.056143918854708E-2</v>
          </cell>
          <cell r="I305">
            <v>4.5115764180890605E-3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2.3817325598637153E-6</v>
          </cell>
          <cell r="E306">
            <v>1.1672436269471813E-4</v>
          </cell>
          <cell r="F306">
            <v>3.9929352957764676E-4</v>
          </cell>
          <cell r="G306">
            <v>1.8407875232514465E-3</v>
          </cell>
          <cell r="H306">
            <v>6.5652625685928747E-3</v>
          </cell>
          <cell r="I306">
            <v>2.6219104419715001E-3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145.493511482381</v>
          </cell>
          <cell r="E307">
            <v>110.21257883794399</v>
          </cell>
          <cell r="F307">
            <v>75.991150103356603</v>
          </cell>
          <cell r="G307">
            <v>33.443971707014597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1.5203186871197434</v>
          </cell>
          <cell r="E308">
            <v>1.1756580827340728</v>
          </cell>
          <cell r="F308">
            <v>0.83543740293974689</v>
          </cell>
          <cell r="G308">
            <v>0.38588870341514747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1.9714567951542077</v>
          </cell>
          <cell r="E309">
            <v>1.4933953772079127</v>
          </cell>
          <cell r="F309">
            <v>1.0296903808042903</v>
          </cell>
          <cell r="G309">
            <v>0.45317034833353093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0.37185687322455785</v>
          </cell>
          <cell r="G310">
            <v>0.18592587955163906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2.4400742406606338E-2</v>
          </cell>
          <cell r="F311">
            <v>7.336543573381908E-3</v>
          </cell>
          <cell r="G311">
            <v>3.9382522341453334E-2</v>
          </cell>
          <cell r="H311">
            <v>9.5931173786114946E-3</v>
          </cell>
          <cell r="I311">
            <v>3.3296316485606826E-3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1.8217672852098028E-2</v>
          </cell>
          <cell r="F312">
            <v>5.4774870558384281E-3</v>
          </cell>
          <cell r="G312">
            <v>2.9403117993360438E-2</v>
          </cell>
          <cell r="H312">
            <v>6.7392138541307826E-3</v>
          </cell>
          <cell r="I312">
            <v>2.1960265860804392E-3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3.465337051998895E-3</v>
          </cell>
          <cell r="F313">
            <v>0.18487328384002499</v>
          </cell>
          <cell r="G313">
            <v>1.1145679167687845</v>
          </cell>
          <cell r="H313">
            <v>2.3150000085012459</v>
          </cell>
          <cell r="I313">
            <v>0.48775679905349478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2.4731826001195413E-3</v>
          </cell>
          <cell r="F314">
            <v>0.1319425446815834</v>
          </cell>
          <cell r="G314">
            <v>0.79545797047764943</v>
          </cell>
          <cell r="H314">
            <v>1.5040925236766023</v>
          </cell>
          <cell r="I314">
            <v>0.28799467011913993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2.1718726241689388E-3</v>
          </cell>
          <cell r="F315">
            <v>2.0572967323630753E-3</v>
          </cell>
          <cell r="G315">
            <v>7.8830472723751023E-3</v>
          </cell>
          <cell r="H315">
            <v>9.1590034545715494E-3</v>
          </cell>
          <cell r="I315">
            <v>3.1019177279228674E-3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1.6215270947176179E-3</v>
          </cell>
          <cell r="F316">
            <v>1.5359843649565988E-3</v>
          </cell>
          <cell r="G316">
            <v>5.8855084772695999E-3</v>
          </cell>
          <cell r="H316">
            <v>6.436747777704286E-3</v>
          </cell>
          <cell r="I316">
            <v>2.0509372151774515E-3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1.385162347266756</v>
          </cell>
          <cell r="E317">
            <v>1.3528519784367816</v>
          </cell>
          <cell r="F317">
            <v>1.7610289003296644</v>
          </cell>
          <cell r="G317">
            <v>4.3105455633317531E-2</v>
          </cell>
          <cell r="H317">
            <v>2.6428222297086401E-3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7.8732462639304664E-3</v>
          </cell>
          <cell r="E318">
            <v>7.6895945127990707E-3</v>
          </cell>
          <cell r="F318">
            <v>1.0009667269365906E-2</v>
          </cell>
          <cell r="G318">
            <v>2.4501089579117755E-4</v>
          </cell>
          <cell r="H318">
            <v>1.5021770038251537E-5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2.455961608629002E-2</v>
          </cell>
          <cell r="E319">
            <v>2.3986737206325912E-2</v>
          </cell>
          <cell r="F319">
            <v>3.1223916672511776E-2</v>
          </cell>
          <cell r="G319">
            <v>7.6428112825031121E-4</v>
          </cell>
          <cell r="H319">
            <v>4.6858550172138964E-5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1.0695217126281301E-6</v>
          </cell>
          <cell r="E320">
            <v>1.0042115947861501E-5</v>
          </cell>
          <cell r="F320">
            <v>5.3279147761704803E-6</v>
          </cell>
          <cell r="G320">
            <v>6.4731707021997896E-6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5.8365595750639089E-4</v>
          </cell>
          <cell r="E321">
            <v>7.1973618885095105E-4</v>
          </cell>
          <cell r="F321">
            <v>7.2528662161588096E-4</v>
          </cell>
          <cell r="G321">
            <v>1.8667009288306767E-5</v>
          </cell>
          <cell r="H321">
            <v>1.14654044437084E-6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2.3681882180833703E-2</v>
          </cell>
          <cell r="E322">
            <v>6.3436149514736667E-2</v>
          </cell>
          <cell r="F322">
            <v>9.3867335012136968E-2</v>
          </cell>
          <cell r="G322">
            <v>2.2722389937898457</v>
          </cell>
          <cell r="H322">
            <v>4.9983213807064262</v>
          </cell>
          <cell r="I322">
            <v>5.4144219189768563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3.4756907716517189E-2</v>
          </cell>
          <cell r="E323">
            <v>9.3102582714448462E-2</v>
          </cell>
          <cell r="F323">
            <v>0.13776516054339197</v>
          </cell>
          <cell r="G323">
            <v>3.3348701093083997</v>
          </cell>
          <cell r="H323">
            <v>7.3358271796195673</v>
          </cell>
          <cell r="I323">
            <v>7.946520531567888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1.8461784988560599E-3</v>
          </cell>
          <cell r="F324">
            <v>2.1688332670954801E-3</v>
          </cell>
          <cell r="G324">
            <v>0.16927140418403799</v>
          </cell>
          <cell r="H324">
            <v>0.19995463404300201</v>
          </cell>
          <cell r="I324">
            <v>0.39417058145073203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1.6986773942924678E-3</v>
          </cell>
          <cell r="E325">
            <v>4.4380629245753178E-3</v>
          </cell>
          <cell r="F325">
            <v>6.6069031319678654E-3</v>
          </cell>
          <cell r="G325">
            <v>0.17482371616225392</v>
          </cell>
          <cell r="H325">
            <v>0.47050959269419035</v>
          </cell>
          <cell r="I325">
            <v>0.53666673380685992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1.6041614982487948E-4</v>
          </cell>
          <cell r="E326">
            <v>8.1563401143269515E-4</v>
          </cell>
          <cell r="F326">
            <v>1.5770050729450198E-3</v>
          </cell>
          <cell r="G326">
            <v>6.4701797937257499E-2</v>
          </cell>
          <cell r="H326">
            <v>6.4789132383778952E-2</v>
          </cell>
          <cell r="I326">
            <v>6.3114844440483972E-2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4.2360449729668788E-4</v>
          </cell>
          <cell r="E327">
            <v>2.0998390353768291E-3</v>
          </cell>
          <cell r="F327">
            <v>3.9412935897884249E-3</v>
          </cell>
          <cell r="G327">
            <v>0.14466806814310088</v>
          </cell>
          <cell r="H327">
            <v>0.13725370214685398</v>
          </cell>
          <cell r="I327">
            <v>0.11889788107588445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1.13249400850098E-5</v>
          </cell>
          <cell r="F328">
            <v>1.72586521494297E-5</v>
          </cell>
          <cell r="G328">
            <v>1.4078189956159E-3</v>
          </cell>
          <cell r="H328">
            <v>6.1736256807667003E-5</v>
          </cell>
          <cell r="I328">
            <v>1.1812364287421501E-3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3.3713942307692301E-6</v>
          </cell>
          <cell r="E329">
            <v>1.806772854654826E-5</v>
          </cell>
          <cell r="F329">
            <v>3.527476156669896E-5</v>
          </cell>
          <cell r="G329">
            <v>1.4107856386192722E-3</v>
          </cell>
          <cell r="H329">
            <v>1.4078498213399219E-3</v>
          </cell>
          <cell r="I329">
            <v>1.4478357959966293E-3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3.3765189706061243E-4</v>
          </cell>
          <cell r="E330">
            <v>5.9885820624973817E-4</v>
          </cell>
          <cell r="F330">
            <v>7.7606328697674728E-4</v>
          </cell>
          <cell r="G330">
            <v>5.7405297602543828E-2</v>
          </cell>
          <cell r="H330">
            <v>5.7524491339529804E-2</v>
          </cell>
          <cell r="I330">
            <v>5.5999247518787529E-2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1.2270187951719661E-3</v>
          </cell>
          <cell r="E331">
            <v>2.1527584076988528E-3</v>
          </cell>
          <cell r="F331">
            <v>2.7487039987652085E-3</v>
          </cell>
          <cell r="G331">
            <v>0.17705052849041156</v>
          </cell>
          <cell r="H331">
            <v>0.1645727088160443</v>
          </cell>
          <cell r="I331">
            <v>0.14803259391905632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2.0113090346084501E-6</v>
          </cell>
          <cell r="F332">
            <v>3.6827204521052701E-6</v>
          </cell>
          <cell r="G332">
            <v>1.2431622880920701E-3</v>
          </cell>
          <cell r="H332">
            <v>8.0661447744727604E-4</v>
          </cell>
          <cell r="I332">
            <v>7.6569898624918105E-4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7.782630781384871E-6</v>
          </cell>
          <cell r="E333">
            <v>1.3966699593958712E-5</v>
          </cell>
          <cell r="F333">
            <v>1.7728513909099009E-5</v>
          </cell>
          <cell r="G333">
            <v>1.247443351919136E-3</v>
          </cell>
          <cell r="H333">
            <v>1.2499579850494646E-3</v>
          </cell>
          <cell r="I333">
            <v>1.2176287957449555E-3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8.5137016765084148E-5</v>
          </cell>
          <cell r="E334">
            <v>1.4458851502090962E-4</v>
          </cell>
          <cell r="F334">
            <v>2.0318894683884505E-4</v>
          </cell>
          <cell r="G334">
            <v>1.2260437567312064E-2</v>
          </cell>
          <cell r="H334">
            <v>1.2299711204107593E-2</v>
          </cell>
          <cell r="I334">
            <v>1.1977010369128255E-2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4.6530484409179623E-4</v>
          </cell>
          <cell r="E335">
            <v>7.801452200562717E-4</v>
          </cell>
          <cell r="F335">
            <v>1.0747260677621856E-3</v>
          </cell>
          <cell r="G335">
            <v>5.6831643378903923E-2</v>
          </cell>
          <cell r="H335">
            <v>5.2097730412404467E-2</v>
          </cell>
          <cell r="I335">
            <v>4.6850293691325005E-2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9.0984072606197601E-7</v>
          </cell>
          <cell r="F336">
            <v>1.3641907245905601E-6</v>
          </cell>
          <cell r="G336">
            <v>2.64869115977668E-4</v>
          </cell>
          <cell r="H336">
            <v>2.0050694015996001E-4</v>
          </cell>
          <cell r="I336">
            <v>1.9178298151856501E-4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1.6026280816847201E-6</v>
          </cell>
          <cell r="E337">
            <v>3.0804813992234858E-6</v>
          </cell>
          <cell r="F337">
            <v>4.4636328767995908E-6</v>
          </cell>
          <cell r="G337">
            <v>2.6770896642207861E-4</v>
          </cell>
          <cell r="H337">
            <v>2.672872538696491E-4</v>
          </cell>
          <cell r="I337">
            <v>2.6046086864304802E-4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2.2004970605552831E-5</v>
          </cell>
          <cell r="F338">
            <v>3.5483490352426156E-5</v>
          </cell>
          <cell r="G338">
            <v>2.0508999249757707E-5</v>
          </cell>
          <cell r="H338">
            <v>7.3386843721684049E-5</v>
          </cell>
          <cell r="I338">
            <v>2.6555659987857791E-5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1.7404274134228675E-4</v>
          </cell>
          <cell r="F339">
            <v>2.7393236911009899E-4</v>
          </cell>
          <cell r="G339">
            <v>1.4692512195742287E-4</v>
          </cell>
          <cell r="H339">
            <v>4.6548844307580837E-4</v>
          </cell>
          <cell r="I339">
            <v>1.5553349339656136E-4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5.02955914472199E-7</v>
          </cell>
          <cell r="F340">
            <v>4.4780245912341799E-7</v>
          </cell>
          <cell r="G340">
            <v>4.0176898409260701E-7</v>
          </cell>
          <cell r="H340">
            <v>1.1312258397106599E-6</v>
          </cell>
          <cell r="I340">
            <v>5.0914584574399805E-7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5.02955914472199E-7</v>
          </cell>
          <cell r="F341">
            <v>9.2696641909375408E-7</v>
          </cell>
          <cell r="G341">
            <v>5.8165941938319489E-7</v>
          </cell>
          <cell r="H341">
            <v>1.548180930171702E-6</v>
          </cell>
          <cell r="I341">
            <v>7.0766312572867098E-7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1.4789615611776444E-2</v>
          </cell>
          <cell r="E342">
            <v>2.5696453080409885E-2</v>
          </cell>
          <cell r="F342">
            <v>1.9510180844128439E-2</v>
          </cell>
          <cell r="G342">
            <v>0.9880154719125479</v>
          </cell>
          <cell r="H342">
            <v>2.3100093561538104</v>
          </cell>
          <cell r="I342">
            <v>2.445494562057994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8.1635173629978405E-3</v>
          </cell>
          <cell r="E343">
            <v>1.4183833197284057E-2</v>
          </cell>
          <cell r="F343">
            <v>1.076915751275157E-2</v>
          </cell>
          <cell r="G343">
            <v>0.54536112848302565</v>
          </cell>
          <cell r="H343">
            <v>1.2001610322072176</v>
          </cell>
          <cell r="I343">
            <v>1.1568072983515156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1.70675332518387E-4</v>
          </cell>
          <cell r="E344">
            <v>4.6214055821244799E-4</v>
          </cell>
          <cell r="F344">
            <v>2.8253587522628402E-4</v>
          </cell>
          <cell r="G344">
            <v>0.109177699679711</v>
          </cell>
          <cell r="H344">
            <v>0.138795474034387</v>
          </cell>
          <cell r="I344">
            <v>0.29277205574585002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1.6421038541942906E-3</v>
          </cell>
          <cell r="E345">
            <v>2.7619638878113306E-3</v>
          </cell>
          <cell r="F345">
            <v>2.9322975527292169E-3</v>
          </cell>
          <cell r="G345">
            <v>0.10592821990623531</v>
          </cell>
          <cell r="H345">
            <v>0.35104443636334093</v>
          </cell>
          <cell r="I345">
            <v>0.37164615497072562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15.7037450966068</v>
          </cell>
          <cell r="E346">
            <v>10.1724896485321</v>
          </cell>
          <cell r="F346">
            <v>13.699025249915801</v>
          </cell>
          <cell r="G346">
            <v>0.80475897348511505</v>
          </cell>
          <cell r="H346">
            <v>0.371018294045175</v>
          </cell>
          <cell r="I346">
            <v>2.9836578687573001E-2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0.30044989220444357</v>
          </cell>
          <cell r="E347">
            <v>0.20107795816862062</v>
          </cell>
          <cell r="F347">
            <v>0.26963879897093279</v>
          </cell>
          <cell r="G347">
            <v>1.7512103293006336E-2</v>
          </cell>
          <cell r="H347">
            <v>9.2773140544037177E-3</v>
          </cell>
          <cell r="I347">
            <v>1.1048018982018413E-3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0.27843519674834738</v>
          </cell>
          <cell r="E348">
            <v>0.18036329164063936</v>
          </cell>
          <cell r="F348">
            <v>0.24289051861552785</v>
          </cell>
          <cell r="G348">
            <v>1.4268776125622619E-2</v>
          </cell>
          <cell r="H348">
            <v>6.5783385469002677E-3</v>
          </cell>
          <cell r="I348">
            <v>5.2901735261654253E-4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2.2973068317992524E-2</v>
          </cell>
          <cell r="E349">
            <v>1.9218045309760512E-2</v>
          </cell>
          <cell r="F349">
            <v>2.5270581089434911E-2</v>
          </cell>
          <cell r="G349">
            <v>2.8374040237511013E-3</v>
          </cell>
          <cell r="H349">
            <v>2.5190837845310817E-3</v>
          </cell>
          <cell r="I349">
            <v>5.1419191005367087E-4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2.1380182139738749E-3</v>
          </cell>
          <cell r="F350">
            <v>2.3377911287161984E-3</v>
          </cell>
          <cell r="G350">
            <v>4.6166761158738222E-4</v>
          </cell>
          <cell r="H350">
            <v>2.0948443127988012E-4</v>
          </cell>
          <cell r="I350">
            <v>6.8206316111320392E-5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1.6361077288071701E-6</v>
          </cell>
          <cell r="E351">
            <v>3.1442957653702698E-7</v>
          </cell>
          <cell r="F351">
            <v>3.6471731492044E-7</v>
          </cell>
          <cell r="G351">
            <v>4.0433919432817902E-7</v>
          </cell>
          <cell r="H351">
            <v>7.40088950278791E-7</v>
          </cell>
          <cell r="I351">
            <v>1.4149774808250999E-6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0.95961932918937287</v>
          </cell>
          <cell r="E352">
            <v>0.95961964361894936</v>
          </cell>
          <cell r="F352">
            <v>0.95962000833626426</v>
          </cell>
          <cell r="G352">
            <v>0.95962041267545861</v>
          </cell>
          <cell r="H352">
            <v>0.95962180551710941</v>
          </cell>
          <cell r="I352">
            <v>0.48125887684853419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9.5996576926147034E-2</v>
          </cell>
          <cell r="E353">
            <v>0.15732329963823871</v>
          </cell>
          <cell r="F353">
            <v>0.19221932654353249</v>
          </cell>
          <cell r="G353">
            <v>6.7727511301954788</v>
          </cell>
          <cell r="H353">
            <v>18.07579095818625</v>
          </cell>
          <cell r="I353">
            <v>18.032238160605196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6.5580469032219882E-2</v>
          </cell>
          <cell r="E354">
            <v>0.10747607998470167</v>
          </cell>
          <cell r="F354">
            <v>0.13131544889856145</v>
          </cell>
          <cell r="G354">
            <v>4.6268336848971385</v>
          </cell>
          <cell r="H354">
            <v>11.6038134620302</v>
          </cell>
          <cell r="I354">
            <v>10.501691696549678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1.2792603307839901E-4</v>
          </cell>
          <cell r="E355">
            <v>6.30473851685706E-4</v>
          </cell>
          <cell r="F355">
            <v>3.2589480222729398E-3</v>
          </cell>
          <cell r="G355">
            <v>0.52914421464600803</v>
          </cell>
          <cell r="H355">
            <v>0.66475111926305497</v>
          </cell>
          <cell r="I355">
            <v>1.46868442792559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7.4138202588693572E-3</v>
          </cell>
          <cell r="E356">
            <v>1.1937586386511292E-2</v>
          </cell>
          <cell r="F356">
            <v>1.4675438520234832E-2</v>
          </cell>
          <cell r="G356">
            <v>0.51386992020609534</v>
          </cell>
          <cell r="H356">
            <v>1.9064521850423319</v>
          </cell>
          <cell r="I356">
            <v>1.9019401285548738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2.7731215967438289E-2</v>
          </cell>
          <cell r="E357">
            <v>2.4195933091459183E-2</v>
          </cell>
          <cell r="F357">
            <v>1.8509977533392806E-2</v>
          </cell>
          <cell r="G357">
            <v>9.1341193640558285E-3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4.0235485273924967E-2</v>
          </cell>
          <cell r="E358">
            <v>3.4781940943887209E-2</v>
          </cell>
          <cell r="F358">
            <v>2.6244796875066777E-2</v>
          </cell>
          <cell r="G358">
            <v>1.2951020978269072E-2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1.2999887519682658E-3</v>
          </cell>
          <cell r="G359">
            <v>6.4999999999999997E-4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6.0622107994167257E-2</v>
          </cell>
          <cell r="E360">
            <v>0.13231319581261727</v>
          </cell>
          <cell r="F360">
            <v>0.40581037657096619</v>
          </cell>
          <cell r="G360">
            <v>0.8941204019691672</v>
          </cell>
          <cell r="H360">
            <v>7.0113025422229462</v>
          </cell>
          <cell r="I360">
            <v>15.279691928000556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4.5326542653987667E-2</v>
          </cell>
          <cell r="E361">
            <v>9.8929250600507765E-2</v>
          </cell>
          <cell r="F361">
            <v>0.30342035194230577</v>
          </cell>
          <cell r="G361">
            <v>0.66852486458496907</v>
          </cell>
          <cell r="H361">
            <v>4.7790909325055839</v>
          </cell>
          <cell r="I361">
            <v>9.5225548597280394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1.5585421209651199E-4</v>
          </cell>
          <cell r="E362">
            <v>2.8701402074982202E-3</v>
          </cell>
          <cell r="F362">
            <v>1.9460211458049E-2</v>
          </cell>
          <cell r="G362">
            <v>3.95796993439263E-2</v>
          </cell>
          <cell r="H362">
            <v>0.42847128671438001</v>
          </cell>
          <cell r="I362">
            <v>0.95851922171349802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4.3758102943715158E-3</v>
          </cell>
          <cell r="E363">
            <v>9.111696893195893E-3</v>
          </cell>
          <cell r="F363">
            <v>2.7950711632194342E-2</v>
          </cell>
          <cell r="G363">
            <v>6.1495912937862371E-2</v>
          </cell>
          <cell r="H363">
            <v>0.48215192588126532</v>
          </cell>
          <cell r="I363">
            <v>1.050641479494562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0.19453161387412532</v>
          </cell>
          <cell r="E364">
            <v>1.3671694742279616</v>
          </cell>
          <cell r="F364">
            <v>4.4129173892396798</v>
          </cell>
          <cell r="G364">
            <v>14.17514621784483</v>
          </cell>
          <cell r="H364">
            <v>22.723620628861326</v>
          </cell>
          <cell r="I364">
            <v>23.566117913479829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0.15022060333267953</v>
          </cell>
          <cell r="E365">
            <v>1.0557513978650235</v>
          </cell>
          <cell r="F365">
            <v>3.4077294660075377</v>
          </cell>
          <cell r="G365">
            <v>10.946287725508</v>
          </cell>
          <cell r="H365">
            <v>16.478677200332232</v>
          </cell>
          <cell r="I365">
            <v>15.476512533320207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2.1372780211638699E-4</v>
          </cell>
          <cell r="E366">
            <v>8.0602364109088206E-2</v>
          </cell>
          <cell r="F366">
            <v>0.24891688776884699</v>
          </cell>
          <cell r="G366">
            <v>0.86254292161955304</v>
          </cell>
          <cell r="H366">
            <v>0.87929784144867995</v>
          </cell>
          <cell r="I366">
            <v>1.86152063667733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1.5415999793824508E-2</v>
          </cell>
          <cell r="E367">
            <v>0.10767121754525838</v>
          </cell>
          <cell r="F367">
            <v>0.34756341129058982</v>
          </cell>
          <cell r="G367">
            <v>1.1161809976327322</v>
          </cell>
          <cell r="H367">
            <v>1.9408877633704489</v>
          </cell>
          <cell r="I367">
            <v>2.2520362896230504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0.14798783993752701</v>
          </cell>
          <cell r="F368">
            <v>0.2301621220623544</v>
          </cell>
          <cell r="G368">
            <v>8.3707335906716698E-4</v>
          </cell>
          <cell r="H368">
            <v>1.52751073148367E-3</v>
          </cell>
          <cell r="I368">
            <v>4.1335745225448299E-4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3.1549097211032261E-4</v>
          </cell>
          <cell r="F369">
            <v>4.9744950721861375E-4</v>
          </cell>
          <cell r="G369">
            <v>1.9111291303411444E-6</v>
          </cell>
          <cell r="H369">
            <v>4.1413384675282719E-6</v>
          </cell>
          <cell r="I369">
            <v>1.1206815654893969E-6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2.6238978712327561E-3</v>
          </cell>
          <cell r="F370">
            <v>4.0808886890488297E-3</v>
          </cell>
          <cell r="G370">
            <v>1.484172622459516E-5</v>
          </cell>
          <cell r="H370">
            <v>2.7083523607866448E-5</v>
          </cell>
          <cell r="I370">
            <v>7.3290328413915355E-6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8.2234575286700397E-6</v>
          </cell>
          <cell r="F371">
            <v>3.0146971800194801E-6</v>
          </cell>
          <cell r="G371">
            <v>1.71035681680518E-8</v>
          </cell>
          <cell r="H371">
            <v>7.9667032664450699E-8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8.2234575286700397E-6</v>
          </cell>
          <cell r="F372">
            <v>1.12381547086895E-5</v>
          </cell>
          <cell r="G372">
            <v>3.5892224847500198E-8</v>
          </cell>
          <cell r="H372">
            <v>6.2998301324134494E-8</v>
          </cell>
          <cell r="I372">
            <v>4.62890851040311E-8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6.6708903301695554E-5</v>
          </cell>
          <cell r="F373">
            <v>9.9936609231745022E-5</v>
          </cell>
          <cell r="G373">
            <v>3.2796523727620885E-5</v>
          </cell>
          <cell r="H373">
            <v>2.8985703774659719E-5</v>
          </cell>
          <cell r="I373">
            <v>2.784157883381137E-5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1.4342810384285613E-4</v>
          </cell>
          <cell r="F374">
            <v>2.1125671224418483E-4</v>
          </cell>
          <cell r="G374">
            <v>6.6301038614584594E-5</v>
          </cell>
          <cell r="H374">
            <v>5.1431686614613313E-5</v>
          </cell>
          <cell r="I374">
            <v>4.7018012513509674E-5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5.1449274881720098E-6</v>
          </cell>
          <cell r="F375">
            <v>2.7057772334270701E-6</v>
          </cell>
          <cell r="G375">
            <v>6.8706328622750095E-7</v>
          </cell>
          <cell r="H375">
            <v>1.0751010344909501E-6</v>
          </cell>
          <cell r="I375">
            <v>1.2901585886714001E-6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5.1449274881720098E-6</v>
          </cell>
          <cell r="F376">
            <v>7.8507047215990807E-6</v>
          </cell>
          <cell r="G376">
            <v>2.1170064927495196E-6</v>
          </cell>
          <cell r="H376">
            <v>1.9414377132059739E-6</v>
          </cell>
          <cell r="I376">
            <v>1.9945124752388101E-6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3.2512413444039101E-2</v>
          </cell>
          <cell r="F377">
            <v>9.1158242763487801E-2</v>
          </cell>
          <cell r="G377">
            <v>8.0161227601899298E-4</v>
          </cell>
          <cell r="H377">
            <v>2.3886635198488702E-3</v>
          </cell>
          <cell r="I377">
            <v>7.8199284761635397E-4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4.8998095681827113E-5</v>
          </cell>
          <cell r="F378">
            <v>1.4155563736429366E-4</v>
          </cell>
          <cell r="G378">
            <v>1.3054108883729602E-6</v>
          </cell>
          <cell r="H378">
            <v>4.5276947629965954E-6</v>
          </cell>
          <cell r="I378">
            <v>1.4822618972626884E-6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5.764612312772903E-4</v>
          </cell>
          <cell r="F379">
            <v>1.6162809000618431E-3</v>
          </cell>
          <cell r="G379">
            <v>1.4212983617358034E-5</v>
          </cell>
          <cell r="H379">
            <v>4.2352190068242426E-5</v>
          </cell>
          <cell r="I379">
            <v>1.3865121411637482E-5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1.27285245281162E-6</v>
          </cell>
          <cell r="F380">
            <v>1.87847947831065E-6</v>
          </cell>
          <cell r="G380">
            <v>1.2335249464450099E-8</v>
          </cell>
          <cell r="H380">
            <v>7.3459392520068001E-8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1.27285245281162E-6</v>
          </cell>
          <cell r="F381">
            <v>3.1513319311222799E-6</v>
          </cell>
          <cell r="G381">
            <v>2.6144972473460214E-8</v>
          </cell>
          <cell r="H381">
            <v>2.5753112464563904E-8</v>
          </cell>
          <cell r="I381">
            <v>4.1602758225387501E-8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2.4304682183671818E-2</v>
          </cell>
          <cell r="E382">
            <v>15.495099274774113</v>
          </cell>
          <cell r="F382">
            <v>29.593485537680785</v>
          </cell>
          <cell r="G382">
            <v>3.2639703342361198E-3</v>
          </cell>
          <cell r="H382">
            <v>2.9741223211265499E-4</v>
          </cell>
          <cell r="I382">
            <v>3.9493859856272897E-5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4.1088894709574586E-5</v>
          </cell>
          <cell r="E383">
            <v>2.716578596185355E-2</v>
          </cell>
          <cell r="F383">
            <v>5.3209707591459363E-2</v>
          </cell>
          <cell r="G383">
            <v>5.5179875377552437E-6</v>
          </cell>
          <cell r="H383">
            <v>6.6045540674307425E-7</v>
          </cell>
          <cell r="I383">
            <v>8.7702960600990207E-8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3.3157820168720081E-4</v>
          </cell>
          <cell r="E384">
            <v>0.21139289597236169</v>
          </cell>
          <cell r="F384">
            <v>0.40373104417026906</v>
          </cell>
          <cell r="G384">
            <v>4.4528926797218517E-5</v>
          </cell>
          <cell r="H384">
            <v>4.0574656495587249E-6</v>
          </cell>
          <cell r="I384">
            <v>5.3879754237752937E-7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5.1233530804182398E-4</v>
          </cell>
          <cell r="F385">
            <v>4.9147232654154604E-4</v>
          </cell>
          <cell r="H385">
            <v>2.9399350516420199E-8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5.1316723490539638E-4</v>
          </cell>
          <cell r="F386">
            <v>1.0046395614469424E-3</v>
          </cell>
          <cell r="G386">
            <v>5.8371889395301101E-8</v>
          </cell>
          <cell r="H386">
            <v>3.0888441084501506E-8</v>
          </cell>
          <cell r="I386">
            <v>2.05242451018736E-8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2.35467657362756E-2</v>
          </cell>
          <cell r="F387">
            <v>6.0735123875496899E-2</v>
          </cell>
          <cell r="H387">
            <v>3.1725246088456003E-4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2.3556006364408284E-5</v>
          </cell>
          <cell r="F388">
            <v>6.2523760535866283E-5</v>
          </cell>
          <cell r="H388">
            <v>3.9914220536437644E-7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4.1749584638786522E-4</v>
          </cell>
          <cell r="F389">
            <v>1.0768638985017176E-3</v>
          </cell>
          <cell r="H389">
            <v>5.6250436327049663E-6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6.0864839395708803E-7</v>
          </cell>
          <cell r="F390">
            <v>8.1171957561776004E-7</v>
          </cell>
          <cell r="G390">
            <v>1.59548449248235E-8</v>
          </cell>
          <cell r="H390">
            <v>2.65216260827847E-8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6.0864839395708803E-7</v>
          </cell>
          <cell r="F391">
            <v>1.4203679695748501E-6</v>
          </cell>
          <cell r="G391">
            <v>4.3780367420889977E-8</v>
          </cell>
          <cell r="H391">
            <v>3.9704748203270897E-8</v>
          </cell>
          <cell r="I391">
            <v>9.0842204315627104E-9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7.7479323376211804</v>
          </cell>
          <cell r="E392">
            <v>9.5659539938472022</v>
          </cell>
          <cell r="F392">
            <v>15.669153925677406</v>
          </cell>
          <cell r="I392">
            <v>9.4787226065079903E-5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9.2452860702052515E-3</v>
          </cell>
          <cell r="E393">
            <v>1.1451172817843852E-2</v>
          </cell>
          <cell r="F393">
            <v>1.9354587637707078E-2</v>
          </cell>
          <cell r="I393">
            <v>1.3987770172676333E-7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0.1057016689989245</v>
          </cell>
          <cell r="E394">
            <v>0.13050414725575968</v>
          </cell>
          <cell r="F394">
            <v>0.2137674478264312</v>
          </cell>
          <cell r="I394">
            <v>1.2931408740120039E-6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3.9489176503187299E-6</v>
          </cell>
          <cell r="F395">
            <v>1.4425927851419301E-4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1.8407485149707633E-4</v>
          </cell>
          <cell r="E396">
            <v>2.2108465879384275E-4</v>
          </cell>
          <cell r="F396">
            <v>3.6575877226721669E-4</v>
          </cell>
          <cell r="G396">
            <v>-2.8955842950966187E-8</v>
          </cell>
          <cell r="H396">
            <v>-3.3151021836334498E-8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6.2047069109110202E-3</v>
          </cell>
          <cell r="F397">
            <v>1.4839130187984429E-2</v>
          </cell>
          <cell r="H397">
            <v>1.4353394097518701E-4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4.1462797450152467E-6</v>
          </cell>
          <cell r="F398">
            <v>1.0179008018683386E-5</v>
          </cell>
          <cell r="H398">
            <v>1.2088197528855252E-7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1.1001253388140107E-4</v>
          </cell>
          <cell r="F399">
            <v>2.6310514517702906E-4</v>
          </cell>
          <cell r="H399">
            <v>2.5449280314749501E-6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8.9162269327235996E-8</v>
          </cell>
          <cell r="F400">
            <v>1.2654022243485899E-7</v>
          </cell>
          <cell r="G400">
            <v>1.08620297194122E-8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8.9162269327235996E-8</v>
          </cell>
          <cell r="F401">
            <v>2.1570249176209499E-7</v>
          </cell>
          <cell r="G401">
            <v>1.4830135236331994E-8</v>
          </cell>
          <cell r="H401">
            <v>-3.7753098807623097E-8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45.014195976115815</v>
          </cell>
          <cell r="E402">
            <v>65.495313874438267</v>
          </cell>
          <cell r="F402">
            <v>114.77704878176769</v>
          </cell>
          <cell r="I402">
            <v>1.5462216254210201E-3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3.5587331644064225E-2</v>
          </cell>
          <cell r="E403">
            <v>5.1967218003768488E-2</v>
          </cell>
          <cell r="F403">
            <v>9.4354724910987828E-2</v>
          </cell>
          <cell r="I403">
            <v>1.5856795421665252E-6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0.61410908562231714</v>
          </cell>
          <cell r="E404">
            <v>0.89352406377132632</v>
          </cell>
          <cell r="F404">
            <v>1.5658533258085674</v>
          </cell>
          <cell r="I404">
            <v>2.1094428723342755E-5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3.02327372063222E-5</v>
          </cell>
          <cell r="F405">
            <v>7.9685554780701705E-4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8.0602245501390306E-4</v>
          </cell>
          <cell r="E406">
            <v>9.8235936048108674E-4</v>
          </cell>
          <cell r="F406">
            <v>1.7796234018137569E-3</v>
          </cell>
          <cell r="G406">
            <v>-3.0640429160046223E-8</v>
          </cell>
          <cell r="H406">
            <v>-2.2601265838384E-8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0.52552030660225602</v>
          </cell>
          <cell r="E407">
            <v>7.7687315190153511E-2</v>
          </cell>
          <cell r="F407">
            <v>0.10512064038797898</v>
          </cell>
          <cell r="I407">
            <v>1.0344979167592301E-3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2.7707381648148059E-4</v>
          </cell>
          <cell r="E408">
            <v>4.1247017470688497E-5</v>
          </cell>
          <cell r="F408">
            <v>5.6210642217074726E-5</v>
          </cell>
          <cell r="I408">
            <v>7.0955770701233E-7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7.1694448376842567E-3</v>
          </cell>
          <cell r="E409">
            <v>1.0598542317892701E-3</v>
          </cell>
          <cell r="F409">
            <v>1.43411514853996E-3</v>
          </cell>
          <cell r="I409">
            <v>1.4113204867110872E-5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1.00048597144212E-7</v>
          </cell>
          <cell r="F410">
            <v>9.6492516777215496E-8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5.8191118641277594E-6</v>
          </cell>
          <cell r="E411">
            <v>9.3958451663561143E-7</v>
          </cell>
          <cell r="F411">
            <v>1.0754091925841683E-6</v>
          </cell>
          <cell r="G411">
            <v>-2.3808985605828851E-8</v>
          </cell>
          <cell r="H411">
            <v>-1.1393235363369799E-8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4.2083157035022296</v>
          </cell>
          <cell r="H412">
            <v>25.380683485443299</v>
          </cell>
          <cell r="I412">
            <v>63.901843643334999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4.2083157035022296</v>
          </cell>
          <cell r="H413">
            <v>25.380683485443299</v>
          </cell>
          <cell r="I413">
            <v>63.901843643334999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7.7897248864456604E-3</v>
          </cell>
          <cell r="E414">
            <v>7.9101558957333507E-3</v>
          </cell>
          <cell r="F414">
            <v>7.8028833974035598E-3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1.3742855831604939E-3</v>
          </cell>
          <cell r="E415">
            <v>1.1187537695543999E-3</v>
          </cell>
          <cell r="F415">
            <v>6.9404428989296033E-4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1.3811568947598701E-4</v>
          </cell>
          <cell r="E416">
            <v>1.4025099105910194E-4</v>
          </cell>
          <cell r="F416">
            <v>1.3834899640786458E-4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1.4831767102497301E-5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1.27049944032868</v>
          </cell>
          <cell r="E418">
            <v>1.26937326024624</v>
          </cell>
          <cell r="F418">
            <v>1.26426243033228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0.24211734011451183</v>
          </cell>
          <cell r="E419">
            <v>0.19377591599900726</v>
          </cell>
          <cell r="F419">
            <v>0.12109616577471889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1.7332870945821019E-2</v>
          </cell>
          <cell r="E420">
            <v>1.731750696106733E-2</v>
          </cell>
          <cell r="F420">
            <v>1.7247782132773292E-2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2.2834649076143012E-3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3.4739735808429956E-2</v>
          </cell>
          <cell r="E422">
            <v>9.3124039788128166E-2</v>
          </cell>
          <cell r="F422">
            <v>0.13778282642865969</v>
          </cell>
          <cell r="G422">
            <v>3.3370521732297593</v>
          </cell>
          <cell r="H422">
            <v>7.3384037275941605</v>
          </cell>
          <cell r="I422">
            <v>7.9485711145923927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3.4739735808429956E-2</v>
          </cell>
          <cell r="E423">
            <v>9.3124039788128166E-2</v>
          </cell>
          <cell r="F423">
            <v>0.13778282642865969</v>
          </cell>
          <cell r="G423">
            <v>3.3370521732297593</v>
          </cell>
          <cell r="H423">
            <v>7.3384037275941605</v>
          </cell>
          <cell r="I423">
            <v>7.9485711145923927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3.7183452703326799E-3</v>
          </cell>
          <cell r="E424">
            <v>6.15806466221939E-3</v>
          </cell>
          <cell r="F424">
            <v>4.7047836991686801E-3</v>
          </cell>
          <cell r="G424">
            <v>0.339959424643692</v>
          </cell>
          <cell r="H424">
            <v>0.35750701416976</v>
          </cell>
          <cell r="I424">
            <v>0.59805133384541398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3.7183452703326799E-3</v>
          </cell>
          <cell r="E425">
            <v>9.8764099325520695E-3</v>
          </cell>
          <cell r="F425">
            <v>1.45811936317208E-2</v>
          </cell>
          <cell r="G425">
            <v>0.35272705876059801</v>
          </cell>
          <cell r="H425">
            <v>0.77566512885455396</v>
          </cell>
          <cell r="I425">
            <v>0.84015807034416801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7.7003271731575994E-7</v>
          </cell>
          <cell r="H426">
            <v>4.6334936487562687E-6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3.2850978234340056E-6</v>
          </cell>
          <cell r="H427">
            <v>1.7810260992811961E-5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3.3447117312699202E-8</v>
          </cell>
          <cell r="H428">
            <v>3.6749662679114601E-8</v>
          </cell>
          <cell r="I428">
            <v>2.6681634785126399E-8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3.3447117312699202E-8</v>
          </cell>
          <cell r="H429">
            <v>2.4429532938992691E-8</v>
          </cell>
          <cell r="I429">
            <v>5.23759160836717E-8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1.668498416569006E-6</v>
          </cell>
          <cell r="H430">
            <v>6.5107653158633511E-6</v>
          </cell>
          <cell r="I430">
            <v>3.0872605921695641E-7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9.8668449031865057E-6</v>
          </cell>
          <cell r="H431">
            <v>3.5276814406943521E-5</v>
          </cell>
          <cell r="I431">
            <v>1.6177865111780358E-6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4.56026448540456E-8</v>
          </cell>
          <cell r="H432">
            <v>2.0954941585809402E-8</v>
          </cell>
          <cell r="I432">
            <v>1.67725345804027E-8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4.56026448540456E-8</v>
          </cell>
          <cell r="H433">
            <v>-1.2713587558905407E-8</v>
          </cell>
          <cell r="I433">
            <v>3.07293464562576E-8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3.8550146389119837E-6</v>
          </cell>
          <cell r="H434">
            <v>3.2173447834365938E-6</v>
          </cell>
          <cell r="I434">
            <v>9.0354582112428398E-7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3.4082481344594286E-5</v>
          </cell>
          <cell r="H435">
            <v>2.5324199151450319E-5</v>
          </cell>
          <cell r="I435">
            <v>6.5327596973508353E-6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9.1504950972869394E-8</v>
          </cell>
          <cell r="H436">
            <v>6.21663046213811E-8</v>
          </cell>
          <cell r="I436">
            <v>2.57438635754897E-8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9.1504950972869394E-8</v>
          </cell>
          <cell r="H437">
            <v>9.56676849308634E-8</v>
          </cell>
          <cell r="I437">
            <v>4.7037143739893797E-8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92.549536380836201</v>
          </cell>
          <cell r="E438">
            <v>91.724782105129407</v>
          </cell>
          <cell r="F438">
            <v>68.276109603232598</v>
          </cell>
          <cell r="G438">
            <v>32.395991454849998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0.6192483797688193</v>
          </cell>
          <cell r="E439">
            <v>0.62769606084197582</v>
          </cell>
          <cell r="F439">
            <v>0.48282450168986957</v>
          </cell>
          <cell r="G439">
            <v>0.24142460990548223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1.2540587585479159</v>
          </cell>
          <cell r="E440">
            <v>1.2428832263567664</v>
          </cell>
          <cell r="F440">
            <v>0.9251505366291678</v>
          </cell>
          <cell r="G440">
            <v>0.43897007391395687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4.3894569044278887E-2</v>
          </cell>
          <cell r="G441">
            <v>2.1947300243252619E-2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H442">
            <v>2.663887365370869E-6</v>
          </cell>
          <cell r="I442">
            <v>5.351897804581316E-7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H443">
            <v>3.1836832450827656E-5</v>
          </cell>
          <cell r="I443">
            <v>6.1392440172649133E-6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1.8411018332365601E-8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1.8411018332365601E-8</v>
          </cell>
          <cell r="H445">
            <v>-2.90141355007878E-8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154.38211110512901</v>
          </cell>
          <cell r="I446">
            <v>123.088433665514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2.1206333943012199</v>
          </cell>
          <cell r="I447">
            <v>1.6907751877131001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2.1206333943012199</v>
          </cell>
          <cell r="I448">
            <v>1.6907751877131001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1.79421397633833</v>
          </cell>
          <cell r="E449">
            <v>2.5990781456001302</v>
          </cell>
          <cell r="F449">
            <v>2.2558933416023699</v>
          </cell>
          <cell r="G449">
            <v>2.4075574532230601</v>
          </cell>
          <cell r="H449">
            <v>1.3085401184964001</v>
          </cell>
          <cell r="I449">
            <v>1.235156684623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2.8872956991874803</v>
          </cell>
          <cell r="E450">
            <v>5.48637384478761</v>
          </cell>
          <cell r="F450">
            <v>6.1898821746592194</v>
          </cell>
          <cell r="G450">
            <v>6.1642593966734305</v>
          </cell>
          <cell r="H450">
            <v>3.5901303808919538</v>
          </cell>
          <cell r="I450">
            <v>2.1711516743022101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26.535134421154112</v>
          </cell>
          <cell r="E451">
            <v>41.161929098576181</v>
          </cell>
          <cell r="F451">
            <v>95.357253360890098</v>
          </cell>
          <cell r="G451">
            <v>80.517328878676381</v>
          </cell>
          <cell r="H451">
            <v>5.6869958714303399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0.24578225524108657</v>
          </cell>
          <cell r="E452">
            <v>0.37663611689523629</v>
          </cell>
          <cell r="F452">
            <v>0.80387937510154162</v>
          </cell>
          <cell r="G452">
            <v>0.67841964409181943</v>
          </cell>
          <cell r="H452">
            <v>4.6152965140368749E-2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0.35955466695330773</v>
          </cell>
          <cell r="E453">
            <v>0.55774971678287522</v>
          </cell>
          <cell r="F453">
            <v>1.2921037040771015</v>
          </cell>
          <cell r="G453">
            <v>1.0910207165132302</v>
          </cell>
          <cell r="H453">
            <v>7.7059564653527618E-2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5.0251642808966902E-4</v>
          </cell>
          <cell r="F454">
            <v>8.3485213951086407E-2</v>
          </cell>
          <cell r="G454">
            <v>9.9639734560101397E-5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3.6540013496652687E-2</v>
          </cell>
          <cell r="E455">
            <v>4.0251308107378772E-2</v>
          </cell>
          <cell r="F455">
            <v>0.1221337786545918</v>
          </cell>
          <cell r="G455">
            <v>0.10297512785003494</v>
          </cell>
          <cell r="H455">
            <v>7.0072778958447657E-3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0.49167157379897358</v>
          </cell>
          <cell r="H456">
            <v>3.0595746532849528</v>
          </cell>
          <cell r="I456">
            <v>8.5185092376245102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8.0198473374159755E-3</v>
          </cell>
          <cell r="H457">
            <v>6.8606924460653772E-3</v>
          </cell>
          <cell r="I457">
            <v>4.8688640707251199E-3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8.8699470857023961E-3</v>
          </cell>
          <cell r="H458">
            <v>7.8197905522545581E-3</v>
          </cell>
          <cell r="I458">
            <v>5.4826943212015356E-3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2.6432581661862682E-3</v>
          </cell>
          <cell r="H459">
            <v>3.2676696692962234E-3</v>
          </cell>
          <cell r="I459">
            <v>2.9174395016898411E-3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3.8977856318023587E-5</v>
          </cell>
          <cell r="H460">
            <v>8.0257610472572283E-4</v>
          </cell>
          <cell r="I460">
            <v>7.1776537058544578E-4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7.7802913413241165E-2</v>
          </cell>
          <cell r="H461">
            <v>1.1118361949915772</v>
          </cell>
          <cell r="I461">
            <v>3.130761008506413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5.4361965850466452E-2</v>
          </cell>
          <cell r="H462">
            <v>0.41484107442265672</v>
          </cell>
          <cell r="I462">
            <v>1.5424122147700745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0.10892702432821116</v>
          </cell>
          <cell r="H463">
            <v>0.4410325336740048</v>
          </cell>
          <cell r="I463">
            <v>1.3251839872283133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6.2836340737943031E-2</v>
          </cell>
          <cell r="H464">
            <v>0.42782875966887179</v>
          </cell>
          <cell r="I464">
            <v>1.4271426569011734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4.6646348827649184E-3</v>
          </cell>
          <cell r="H465">
            <v>6.784626339131291E-3</v>
          </cell>
          <cell r="I465">
            <v>1.5173021742126269E-3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7.1695744701390685E-4</v>
          </cell>
          <cell r="H466">
            <v>1.3103399049621252E-3</v>
          </cell>
          <cell r="I466">
            <v>3.7643871234874227E-3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8.7356984198724133E-2</v>
          </cell>
          <cell r="H467">
            <v>0.4388887592287819</v>
          </cell>
          <cell r="I467">
            <v>0.92450668118804313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7.393142376743469E-3</v>
          </cell>
          <cell r="H468">
            <v>5.0571728493386597E-3</v>
          </cell>
          <cell r="I468">
            <v>4.0826129357902545E-3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6.5505599968256165E-4</v>
          </cell>
          <cell r="H469">
            <v>1.5888431456109093E-2</v>
          </cell>
          <cell r="I469">
            <v>5.9047444101302153E-3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1.0382677477221299E-2</v>
          </cell>
          <cell r="H470">
            <v>1.363341662969675E-2</v>
          </cell>
          <cell r="I470">
            <v>1.0194157987654407E-2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1.2340984131973629E-2</v>
          </cell>
          <cell r="H471">
            <v>2.4537931530779666E-2</v>
          </cell>
          <cell r="I471">
            <v>1.5193206867083704E-2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1.2633678029772243E-2</v>
          </cell>
          <cell r="H472">
            <v>2.7537811023488755E-2</v>
          </cell>
          <cell r="I472">
            <v>2.3788693267937908E-2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4.9763916233918769E-4</v>
          </cell>
          <cell r="H473">
            <v>6.7076647381678013E-4</v>
          </cell>
          <cell r="I473">
            <v>5.3965415580089202E-4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4.2895311386592064E-4</v>
          </cell>
          <cell r="H474">
            <v>6.1164349968285351E-4</v>
          </cell>
          <cell r="I474">
            <v>5.0447394285025877E-4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1.9605314336236621E-4</v>
          </cell>
          <cell r="H475">
            <v>2.6278454719749257E-4</v>
          </cell>
          <cell r="I475">
            <v>2.418660492110522E-4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3.3557047713720435E-4</v>
          </cell>
          <cell r="H476">
            <v>7.5992088303819625E-4</v>
          </cell>
          <cell r="I476">
            <v>4.9770796065130363E-4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1.8602808985423961E-3</v>
          </cell>
          <cell r="H477">
            <v>1.8310546875723991E-3</v>
          </cell>
          <cell r="I477">
            <v>1.2499153655453014E-3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2.9001798261017148E-2</v>
          </cell>
          <cell r="H478">
            <v>0.10778919541052479</v>
          </cell>
          <cell r="I478">
            <v>8.725804388070732E-2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0.43162127303481701</v>
          </cell>
          <cell r="H479">
            <v>2.65493215033674</v>
          </cell>
          <cell r="I479">
            <v>5.0538353067005604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0.43162127303481701</v>
          </cell>
          <cell r="H480">
            <v>4.5010581378688528</v>
          </cell>
          <cell r="I480">
            <v>7.6368149303931432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2.10604958730154E-4</v>
          </cell>
          <cell r="F481">
            <v>2.1622068128473901E-4</v>
          </cell>
          <cell r="G481">
            <v>2.6192821221124698E-4</v>
          </cell>
          <cell r="H481">
            <v>2.6410509281996801E-4</v>
          </cell>
          <cell r="I481">
            <v>8.1568907825856605E-5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8.5355313670370722E-5</v>
          </cell>
          <cell r="F482">
            <v>8.763128933125965E-5</v>
          </cell>
          <cell r="G482">
            <v>1.0615592741601138E-4</v>
          </cell>
          <cell r="H482">
            <v>1.0703818739840069E-4</v>
          </cell>
          <cell r="I482">
            <v>3.3058764405193068E-5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2.0052650162568399E-5</v>
          </cell>
          <cell r="E483">
            <v>1.8387506645988299E-4</v>
          </cell>
          <cell r="F483">
            <v>1.0719452084321999E-5</v>
          </cell>
          <cell r="G483">
            <v>9.7864426333453302E-6</v>
          </cell>
          <cell r="H483">
            <v>2.6599727633045502E-6</v>
          </cell>
          <cell r="I483">
            <v>2.1787751446486098E-6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2.0052650162568399E-5</v>
          </cell>
          <cell r="E484">
            <v>2.0392771662245101E-4</v>
          </cell>
          <cell r="F484">
            <v>2.1084069912727312E-4</v>
          </cell>
          <cell r="G484">
            <v>2.139768490439368E-4</v>
          </cell>
          <cell r="H484">
            <v>-9.5236736726229997E-6</v>
          </cell>
          <cell r="I484">
            <v>-1.518631731646E-7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26.335281986439185</v>
          </cell>
          <cell r="E485">
            <v>48.895881717243228</v>
          </cell>
          <cell r="F485">
            <v>65.704351274567728</v>
          </cell>
          <cell r="G485">
            <v>46.831586352663315</v>
          </cell>
          <cell r="H485">
            <v>3.3740099762018798E-2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0.12533510674961698</v>
          </cell>
          <cell r="E486">
            <v>0.23270571235208387</v>
          </cell>
          <cell r="F486">
            <v>0.31270072920247344</v>
          </cell>
          <cell r="G486">
            <v>0.22288129961119951</v>
          </cell>
          <cell r="H486">
            <v>1.6057618094208781E-4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0.35684663938264427</v>
          </cell>
          <cell r="E487">
            <v>0.66254582272687379</v>
          </cell>
          <cell r="F487">
            <v>0.89030286279902071</v>
          </cell>
          <cell r="G487">
            <v>0.63457434082199715</v>
          </cell>
          <cell r="H487">
            <v>4.5718292360459129E-4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2.1453250116376401E-3</v>
          </cell>
          <cell r="F488">
            <v>1.25054028401808E-2</v>
          </cell>
          <cell r="G488">
            <v>9.8918115420341E-5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1.2434346899819615E-2</v>
          </cell>
          <cell r="E489">
            <v>1.626705399222594E-2</v>
          </cell>
          <cell r="F489">
            <v>2.8772568266683025E-2</v>
          </cell>
          <cell r="G489">
            <v>2.2164979430189101E-2</v>
          </cell>
          <cell r="H489">
            <v>1.3607661200723361E-5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252.9008046578324</v>
          </cell>
          <cell r="E490">
            <v>391.81898065761465</v>
          </cell>
          <cell r="F490">
            <v>433.81241324256928</v>
          </cell>
          <cell r="G490">
            <v>491.44660514000424</v>
          </cell>
          <cell r="H490">
            <v>13.09740169055871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2.0626419347636977</v>
          </cell>
          <cell r="E491">
            <v>3.209197932383776</v>
          </cell>
          <cell r="F491">
            <v>3.4475062548795541</v>
          </cell>
          <cell r="G491">
            <v>3.9157910879119218</v>
          </cell>
          <cell r="H491">
            <v>9.8231115836976426E-2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3.4268401715153445</v>
          </cell>
          <cell r="E492">
            <v>5.3092002799134894</v>
          </cell>
          <cell r="F492">
            <v>5.8782169816066379</v>
          </cell>
          <cell r="G492">
            <v>6.6591680913279676</v>
          </cell>
          <cell r="H492">
            <v>0.17747156762274605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1.24253583589547E-4</v>
          </cell>
          <cell r="F493">
            <v>0.123768628418693</v>
          </cell>
          <cell r="G493">
            <v>4.0034244793119901E-5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0.21742638858887936</v>
          </cell>
          <cell r="E494">
            <v>0.24349229347993837</v>
          </cell>
          <cell r="F494">
            <v>0.36226465768781768</v>
          </cell>
          <cell r="G494">
            <v>0.29710712507167447</v>
          </cell>
          <cell r="H494">
            <v>1.0347263910050392E-2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0.37666578575934867</v>
          </cell>
          <cell r="E495">
            <v>0.59969096169773117</v>
          </cell>
          <cell r="F495">
            <v>0.53579366616371971</v>
          </cell>
          <cell r="G495">
            <v>0.45808110383653355</v>
          </cell>
          <cell r="H495">
            <v>2.7143108098231214E-2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3.8512463023004039E-3</v>
          </cell>
          <cell r="E496">
            <v>6.6950209800956829E-3</v>
          </cell>
          <cell r="F496">
            <v>5.9780477732927721E-3</v>
          </cell>
          <cell r="G496">
            <v>5.1094133307238252E-3</v>
          </cell>
          <cell r="H496">
            <v>2.5374637451981268E-4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5.1386873909870234E-3</v>
          </cell>
          <cell r="E497">
            <v>8.1813228062446383E-3</v>
          </cell>
          <cell r="F497">
            <v>7.3095998112376551E-3</v>
          </cell>
          <cell r="G497">
            <v>6.2494011437453454E-3</v>
          </cell>
          <cell r="H497">
            <v>3.7030161116277253E-4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2.61743203733339E-4</v>
          </cell>
          <cell r="F498">
            <v>1.76788111712436E-4</v>
          </cell>
          <cell r="G498">
            <v>5.22634130880576E-5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4.4455081992624961E-4</v>
          </cell>
          <cell r="E499">
            <v>7.3112111440440559E-4</v>
          </cell>
          <cell r="F499">
            <v>8.8752640014773789E-4</v>
          </cell>
          <cell r="G499">
            <v>7.2953616067530805E-4</v>
          </cell>
          <cell r="H499">
            <v>3.474222770656465E-5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265.61053551883668</v>
          </cell>
          <cell r="E500">
            <v>423.98283582120337</v>
          </cell>
          <cell r="F500">
            <v>418.82551923127988</v>
          </cell>
          <cell r="G500">
            <v>337.51149312467845</v>
          </cell>
          <cell r="H500">
            <v>0.1280795465892918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1.8541559360408062</v>
          </cell>
          <cell r="E501">
            <v>2.9645770734465633</v>
          </cell>
          <cell r="F501">
            <v>2.9278385192392542</v>
          </cell>
          <cell r="G501">
            <v>2.3788291778921806</v>
          </cell>
          <cell r="H501">
            <v>8.1908005487468663E-4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3.5990587468677</v>
          </cell>
          <cell r="E502">
            <v>5.7450248756260551</v>
          </cell>
          <cell r="F502">
            <v>5.6751425370092043</v>
          </cell>
          <cell r="G502">
            <v>4.5733264651040537</v>
          </cell>
          <cell r="H502">
            <v>1.7354952112370202E-3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2.1071067457138301E-4</v>
          </cell>
          <cell r="F503">
            <v>6.8301581226446102E-4</v>
          </cell>
          <cell r="G503">
            <v>3.2016164123077697E-5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0.18200944679676159</v>
          </cell>
          <cell r="E504">
            <v>0.20386103473917572</v>
          </cell>
          <cell r="F504">
            <v>0.20138949987694973</v>
          </cell>
          <cell r="G504">
            <v>0.16359687565893516</v>
          </cell>
          <cell r="H504">
            <v>6.9248646657248363E-5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70.435814685703605</v>
          </cell>
          <cell r="E505">
            <v>94.120819026661664</v>
          </cell>
          <cell r="F505">
            <v>67.742346627731351</v>
          </cell>
          <cell r="G505">
            <v>61.049876633600327</v>
          </cell>
          <cell r="H505">
            <v>2.56342198894116E-2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0.68575798769780694</v>
          </cell>
          <cell r="E506">
            <v>0.90373933504115445</v>
          </cell>
          <cell r="F506">
            <v>0.65023957887820727</v>
          </cell>
          <cell r="G506">
            <v>0.63478860074226218</v>
          </cell>
          <cell r="H506">
            <v>1.9885289678540303E-4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0.96092516624425217</v>
          </cell>
          <cell r="E507">
            <v>1.2840493728057532</v>
          </cell>
          <cell r="F507">
            <v>0.92417935372075544</v>
          </cell>
          <cell r="G507">
            <v>0.83287689813915888</v>
          </cell>
          <cell r="H507">
            <v>3.4971650599470016E-4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6.6840970015105895E-5</v>
          </cell>
          <cell r="F508">
            <v>1.0000936719754099E-4</v>
          </cell>
          <cell r="G508">
            <v>2.38373057418664E-5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6.4567349972070795E-2</v>
          </cell>
          <cell r="E509">
            <v>6.8570008423793155E-2</v>
          </cell>
          <cell r="F509">
            <v>6.8045150533839915E-2</v>
          </cell>
          <cell r="G509">
            <v>5.1620493476813016E-2</v>
          </cell>
          <cell r="H509">
            <v>1.7460124466669554E-5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H510">
            <v>6.3848083137935151E-6</v>
          </cell>
          <cell r="I510">
            <v>7.1621308015196901E-6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H511">
            <v>3.5586053187793134E-4</v>
          </cell>
          <cell r="I511">
            <v>3.7070921926897856E-4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H512">
            <v>1.5943438053361199E-7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H513">
            <v>1.5943438053361199E-7</v>
          </cell>
          <cell r="I513">
            <v>1.5943438053361199E-7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238.0555150855852</v>
          </cell>
          <cell r="E514">
            <v>387.98479042385043</v>
          </cell>
          <cell r="F514">
            <v>577.01997822784756</v>
          </cell>
          <cell r="G514">
            <v>474.30835201394467</v>
          </cell>
          <cell r="H514">
            <v>11.643100590671674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1.3978828373040579</v>
          </cell>
          <cell r="E515">
            <v>2.2779659710087232</v>
          </cell>
          <cell r="F515">
            <v>3.3913376240037802</v>
          </cell>
          <cell r="G515">
            <v>2.8135530697939548</v>
          </cell>
          <cell r="H515">
            <v>6.8542006840744324E-2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3.225684486254536</v>
          </cell>
          <cell r="E516">
            <v>5.2572464827080045</v>
          </cell>
          <cell r="F516">
            <v>7.8186988919762568</v>
          </cell>
          <cell r="G516">
            <v>6.4269424392133487</v>
          </cell>
          <cell r="H516">
            <v>0.15776559065950754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1.48028369439607E-4</v>
          </cell>
          <cell r="F517">
            <v>9.1936003731665203E-2</v>
          </cell>
          <cell r="G517">
            <v>4.3488924079094197E-5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0.15707247514555861</v>
          </cell>
          <cell r="E518">
            <v>0.179408808741681</v>
          </cell>
          <cell r="F518">
            <v>0.26721256233356777</v>
          </cell>
          <cell r="G518">
            <v>0.22163044118340469</v>
          </cell>
          <cell r="H518">
            <v>7.6912594515802461E-3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299.66851285937503</v>
          </cell>
          <cell r="E519">
            <v>390.50212591075837</v>
          </cell>
          <cell r="F519">
            <v>386.77059059733347</v>
          </cell>
          <cell r="G519">
            <v>295.42758844228069</v>
          </cell>
          <cell r="H519">
            <v>2.40359146123061E-2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2.1938028153378122</v>
          </cell>
          <cell r="E520">
            <v>2.8365104868921067</v>
          </cell>
          <cell r="F520">
            <v>2.8069438128477517</v>
          </cell>
          <cell r="G520">
            <v>2.1813625159078742</v>
          </cell>
          <cell r="H520">
            <v>1.6012510376006394E-4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4.0882471058577741</v>
          </cell>
          <cell r="E521">
            <v>5.3274505581276603</v>
          </cell>
          <cell r="F521">
            <v>5.2765428458026493</v>
          </cell>
          <cell r="G521">
            <v>4.0303900196764122</v>
          </cell>
          <cell r="H521">
            <v>3.2791152267811906E-4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5.8490294020337202E-5</v>
          </cell>
          <cell r="F522">
            <v>6.3598720184528099E-5</v>
          </cell>
          <cell r="G522">
            <v>1.8843523314257599E-5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0.18323960534287628</v>
          </cell>
          <cell r="E523">
            <v>0.19505384864742639</v>
          </cell>
          <cell r="F523">
            <v>0.19307971503128485</v>
          </cell>
          <cell r="G523">
            <v>0.15003619922626932</v>
          </cell>
          <cell r="H523">
            <v>1.2510440329000832E-5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141.99060124310341</v>
          </cell>
          <cell r="E524">
            <v>162.03043301264287</v>
          </cell>
          <cell r="F524">
            <v>159.12307287335881</v>
          </cell>
          <cell r="G524">
            <v>110.73030600841248</v>
          </cell>
          <cell r="H524">
            <v>1.8260598210575768E-2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0.90271456906051695</v>
          </cell>
          <cell r="E525">
            <v>1.0074176607361702</v>
          </cell>
          <cell r="F525">
            <v>0.99155346238608399</v>
          </cell>
          <cell r="G525">
            <v>0.71273443734832875</v>
          </cell>
          <cell r="H525">
            <v>1.050464139260843E-4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1.9371159787599364</v>
          </cell>
          <cell r="E526">
            <v>2.2105106823007192</v>
          </cell>
          <cell r="F526">
            <v>2.1708468331972566</v>
          </cell>
          <cell r="G526">
            <v>1.5106453752852953</v>
          </cell>
          <cell r="H526">
            <v>2.4912139441440282E-4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2.47879402571751E-5</v>
          </cell>
          <cell r="F527">
            <v>3.6152890639294E-5</v>
          </cell>
          <cell r="G527">
            <v>1.7083422779588399E-5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7.1261604013570637E-2</v>
          </cell>
          <cell r="E528">
            <v>7.9361397749016169E-2</v>
          </cell>
          <cell r="F528">
            <v>7.8260292356291797E-2</v>
          </cell>
          <cell r="G528">
            <v>6.1115850790955828E-2</v>
          </cell>
          <cell r="H528">
            <v>9.5474097752141831E-6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5.9906996320806396</v>
          </cell>
          <cell r="E529">
            <v>1.84505782513672</v>
          </cell>
          <cell r="F529">
            <v>3.9243142393988801</v>
          </cell>
          <cell r="G529">
            <v>7.3659988015716098E-3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2.9484360113661921E-2</v>
          </cell>
          <cell r="E530">
            <v>9.1654340273031598E-3</v>
          </cell>
          <cell r="F530">
            <v>1.9764277568154055E-2</v>
          </cell>
          <cell r="G530">
            <v>3.7097856083831822E-5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0.10621807858299001</v>
          </cell>
          <cell r="E531">
            <v>3.2713791225828404E-2</v>
          </cell>
          <cell r="F531">
            <v>6.9580039705653879E-2</v>
          </cell>
          <cell r="G531">
            <v>1.3060281563070236E-4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1.3899870243682532E-3</v>
          </cell>
          <cell r="G532">
            <v>3.666203637341949E-6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5790.7985407467204</v>
          </cell>
          <cell r="E533">
            <v>5643.97419467481</v>
          </cell>
          <cell r="F533">
            <v>5383.0318838414596</v>
          </cell>
          <cell r="G533">
            <v>2820.1952380328398</v>
          </cell>
          <cell r="H533">
            <v>250.326084992348</v>
          </cell>
          <cell r="I533">
            <v>39.234334354510601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81.790182695160297</v>
          </cell>
          <cell r="E534">
            <v>79.716625483388214</v>
          </cell>
          <cell r="F534">
            <v>76.03107542383573</v>
          </cell>
          <cell r="G534">
            <v>42.363043711214949</v>
          </cell>
          <cell r="H534">
            <v>7.3707857275921826</v>
          </cell>
          <cell r="I534">
            <v>0.61461045890608001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78.466104888166868</v>
          </cell>
          <cell r="E535">
            <v>76.476615103994703</v>
          </cell>
          <cell r="F535">
            <v>72.940811434166065</v>
          </cell>
          <cell r="G535">
            <v>38.214027615621234</v>
          </cell>
          <cell r="H535">
            <v>3.3919523711700204</v>
          </cell>
          <cell r="I535">
            <v>0.53163054680908584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4.5440035599730519</v>
          </cell>
          <cell r="E536">
            <v>4.4290078881157493</v>
          </cell>
          <cell r="F536">
            <v>4.224290407825718</v>
          </cell>
          <cell r="G536">
            <v>4.7808786016964477</v>
          </cell>
          <cell r="H536">
            <v>4.0887708483103404</v>
          </cell>
          <cell r="I536">
            <v>9.217220663145527E-2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2.5907023706669169E-2</v>
          </cell>
          <cell r="E537">
            <v>3.5618806959309003E-2</v>
          </cell>
          <cell r="F537">
            <v>3.9371793929944159E-2</v>
          </cell>
          <cell r="G537">
            <v>4.4997522362824893E-2</v>
          </cell>
          <cell r="H537">
            <v>1.5918739150017844</v>
          </cell>
          <cell r="I537">
            <v>1.870731275880112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2.3341917356200954E-3</v>
          </cell>
          <cell r="E538">
            <v>3.2060928629555323E-3</v>
          </cell>
          <cell r="F538">
            <v>3.5395408123932103E-3</v>
          </cell>
          <cell r="G538">
            <v>4.0107041432281424E-3</v>
          </cell>
          <cell r="H538">
            <v>0.13741476359596971</v>
          </cell>
          <cell r="I538">
            <v>0.15809622292387515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3.0124852165982702E-3</v>
          </cell>
          <cell r="E539">
            <v>1.3596528723166001E-3</v>
          </cell>
          <cell r="F539">
            <v>1.47605545354847E-3</v>
          </cell>
          <cell r="G539">
            <v>5.5101551079812698E-3</v>
          </cell>
          <cell r="H539">
            <v>0.30960350487637001</v>
          </cell>
          <cell r="I539">
            <v>0.57183113267087604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8.9529861744438929E-3</v>
          </cell>
          <cell r="E540">
            <v>1.2265634865895452E-2</v>
          </cell>
          <cell r="F540">
            <v>1.3741311007436583E-2</v>
          </cell>
          <cell r="G540">
            <v>1.5564439155987736E-2</v>
          </cell>
          <cell r="H540">
            <v>0.62026022058752128</v>
          </cell>
          <cell r="I540">
            <v>0.78144413102294707</v>
          </cell>
        </row>
        <row r="541">
          <cell r="A541" t="str">
            <v>T_TW-BEVELC-S2</v>
          </cell>
          <cell r="B541" t="str">
            <v>VAR_fout</v>
          </cell>
          <cell r="C541" t="str">
            <v>TPTWL</v>
          </cell>
          <cell r="D541">
            <v>2.9082335189095409E-3</v>
          </cell>
          <cell r="E541">
            <v>4.3412381838323407E-3</v>
          </cell>
          <cell r="F541">
            <v>5.2493581243739113E-3</v>
          </cell>
          <cell r="G541">
            <v>6.1719366717933755E-3</v>
          </cell>
          <cell r="H541">
            <v>4.3457632485897303E-3</v>
          </cell>
          <cell r="I541">
            <v>2.8619480724619115E-3</v>
          </cell>
        </row>
        <row r="542">
          <cell r="A542" t="str">
            <v>T_TW-BEVELC-S2</v>
          </cell>
          <cell r="B542" t="str">
            <v>VAR_fin</v>
          </cell>
          <cell r="C542" t="str">
            <v>T-ELC-TWSTGout_S2</v>
          </cell>
          <cell r="D542">
            <v>4.6276111778026038E-4</v>
          </cell>
          <cell r="E542">
            <v>6.8980934424776701E-4</v>
          </cell>
          <cell r="F542">
            <v>8.3209964744143075E-4</v>
          </cell>
          <cell r="G542">
            <v>9.7352065009245618E-4</v>
          </cell>
          <cell r="H542">
            <v>6.6486392945635717E-4</v>
          </cell>
          <cell r="I542">
            <v>4.3136773259707935E-4</v>
          </cell>
        </row>
        <row r="543">
          <cell r="A543" t="str">
            <v>T_TW-BEVELC-S2</v>
          </cell>
          <cell r="B543" t="str">
            <v>VAR_ncap</v>
          </cell>
          <cell r="C543" t="str">
            <v>-</v>
          </cell>
          <cell r="D543">
            <v>2.6484660926046001E-4</v>
          </cell>
          <cell r="E543">
            <v>3.5223005241721801E-4</v>
          </cell>
          <cell r="F543">
            <v>4.0117417304914101E-4</v>
          </cell>
          <cell r="G543">
            <v>4.7335332038668401E-4</v>
          </cell>
          <cell r="H543">
            <v>5.5606877570304905E-4</v>
          </cell>
          <cell r="I543">
            <v>4.4672213649677898E-4</v>
          </cell>
        </row>
        <row r="544">
          <cell r="A544" t="str">
            <v>T_TW-BEVELC-S2</v>
          </cell>
          <cell r="B544" t="str">
            <v>VAR_cap</v>
          </cell>
          <cell r="C544" t="str">
            <v>-</v>
          </cell>
          <cell r="D544">
            <v>1.049539800779836E-3</v>
          </cell>
          <cell r="E544">
            <v>1.5191643577056936E-3</v>
          </cell>
          <cell r="F544">
            <v>1.9202758692764034E-3</v>
          </cell>
          <cell r="G544">
            <v>2.2287042109903816E-3</v>
          </cell>
          <cell r="H544">
            <v>1.7210502021965939E-3</v>
          </cell>
          <cell r="I544">
            <v>1.1245874630847687E-3</v>
          </cell>
        </row>
        <row r="545">
          <cell r="A545" t="str">
            <v>TFRLFH2OFCL</v>
          </cell>
          <cell r="B545" t="str">
            <v>VAR_fout</v>
          </cell>
          <cell r="C545" t="str">
            <v>TFRLF</v>
          </cell>
          <cell r="H545">
            <v>2.2176204367639443E-6</v>
          </cell>
          <cell r="I545">
            <v>2.3640545780068234E-6</v>
          </cell>
        </row>
        <row r="546">
          <cell r="A546" t="str">
            <v>TFRLFH2OFCL</v>
          </cell>
          <cell r="B546" t="str">
            <v>VAR_fin</v>
          </cell>
          <cell r="C546" t="str">
            <v>TH2O</v>
          </cell>
          <cell r="H546">
            <v>3.0391380506094109E-4</v>
          </cell>
          <cell r="I546">
            <v>3.9838469985918314E-4</v>
          </cell>
        </row>
        <row r="547">
          <cell r="A547" t="str">
            <v>TFRLFH2OFCL</v>
          </cell>
          <cell r="B547" t="str">
            <v>VAR_ncap</v>
          </cell>
          <cell r="C547" t="str">
            <v>-</v>
          </cell>
          <cell r="H547">
            <v>3.4517022106917403E-7</v>
          </cell>
        </row>
        <row r="548">
          <cell r="A548" t="str">
            <v>TFRLFH2OFCL</v>
          </cell>
          <cell r="B548" t="str">
            <v>VAR_cap</v>
          </cell>
          <cell r="C548" t="str">
            <v>-</v>
          </cell>
          <cell r="H548">
            <v>3.4517022106917403E-7</v>
          </cell>
          <cell r="I548">
            <v>3.4517022106917403E-7</v>
          </cell>
        </row>
        <row r="549">
          <cell r="A549" t="str">
            <v>T_TW-BEVELC-S3</v>
          </cell>
          <cell r="B549" t="str">
            <v>VAR_fout</v>
          </cell>
          <cell r="C549" t="str">
            <v>TPTWL</v>
          </cell>
          <cell r="D549">
            <v>8.1986758570670888E-4</v>
          </cell>
          <cell r="E549">
            <v>1.5358953874231287E-3</v>
          </cell>
          <cell r="F549">
            <v>2.0329133892431589E-3</v>
          </cell>
          <cell r="G549">
            <v>2.5940505241979924E-3</v>
          </cell>
          <cell r="H549">
            <v>2.6813489505120663E-3</v>
          </cell>
          <cell r="I549">
            <v>1.5049937802901377E-3</v>
          </cell>
        </row>
        <row r="550">
          <cell r="A550" t="str">
            <v>T_TW-BEVELC-S3</v>
          </cell>
          <cell r="B550" t="str">
            <v>VAR_fin</v>
          </cell>
          <cell r="C550" t="str">
            <v>T-ELC-TWSTGout_S3</v>
          </cell>
          <cell r="D550">
            <v>2.0044960063034885E-4</v>
          </cell>
          <cell r="E550">
            <v>3.7457698589863335E-4</v>
          </cell>
          <cell r="F550">
            <v>4.9409344874494791E-4</v>
          </cell>
          <cell r="G550">
            <v>6.2715743141541949E-4</v>
          </cell>
          <cell r="H550">
            <v>6.3685140641506113E-4</v>
          </cell>
          <cell r="I550">
            <v>3.4758129675462827E-4</v>
          </cell>
        </row>
        <row r="551">
          <cell r="A551" t="str">
            <v>T_TW-BEVELC-S3</v>
          </cell>
          <cell r="B551" t="str">
            <v>VAR_ncap</v>
          </cell>
          <cell r="C551" t="str">
            <v>-</v>
          </cell>
          <cell r="D551">
            <v>1.8606954310201399E-4</v>
          </cell>
          <cell r="E551">
            <v>1.9263452186833101E-4</v>
          </cell>
          <cell r="F551">
            <v>2.0013672301754599E-4</v>
          </cell>
          <cell r="G551">
            <v>2.0572276936311199E-4</v>
          </cell>
          <cell r="H551">
            <v>1.83273808399116E-4</v>
          </cell>
          <cell r="I551">
            <v>1.6428723685575199E-4</v>
          </cell>
        </row>
        <row r="552">
          <cell r="A552" t="str">
            <v>T_TW-BEVELC-S3</v>
          </cell>
          <cell r="B552" t="str">
            <v>VAR_cap</v>
          </cell>
          <cell r="C552" t="str">
            <v>-</v>
          </cell>
          <cell r="D552">
            <v>2.9300781661366918E-4</v>
          </cell>
          <cell r="E552">
            <v>5.4010209158553439E-4</v>
          </cell>
          <cell r="F552">
            <v>7.4029253630988044E-4</v>
          </cell>
          <cell r="G552">
            <v>9.4592487378817041E-4</v>
          </cell>
          <cell r="H552">
            <v>1.048382808852734E-3</v>
          </cell>
          <cell r="I552">
            <v>5.8798102969131799E-4</v>
          </cell>
        </row>
        <row r="553">
          <cell r="A553" t="str">
            <v>T_TW-BEVELC-S4</v>
          </cell>
          <cell r="B553" t="str">
            <v>VAR_fout</v>
          </cell>
          <cell r="C553" t="str">
            <v>TPTWL</v>
          </cell>
          <cell r="D553">
            <v>8.8465131398766223E-4</v>
          </cell>
          <cell r="E553">
            <v>1.5526522573605743E-3</v>
          </cell>
          <cell r="F553">
            <v>2.1151367906808989E-3</v>
          </cell>
          <cell r="G553">
            <v>2.610231715265963E-3</v>
          </cell>
          <cell r="H553">
            <v>3.4831097402362736E-3</v>
          </cell>
          <cell r="I553">
            <v>2.1657255030040224E-3</v>
          </cell>
        </row>
        <row r="554">
          <cell r="A554" t="str">
            <v>T_TW-BEVELC-S4</v>
          </cell>
          <cell r="B554" t="str">
            <v>VAR_fin</v>
          </cell>
          <cell r="C554" t="str">
            <v>T-ELC-TWSTGout_S4</v>
          </cell>
          <cell r="D554">
            <v>2.3496381073773225E-4</v>
          </cell>
          <cell r="E554">
            <v>4.1125709919596432E-4</v>
          </cell>
          <cell r="F554">
            <v>5.5796642104290867E-4</v>
          </cell>
          <cell r="G554">
            <v>6.8509030847531979E-4</v>
          </cell>
          <cell r="H554">
            <v>9.0243533452655776E-4</v>
          </cell>
          <cell r="I554">
            <v>5.4748151876300006E-4</v>
          </cell>
        </row>
        <row r="555">
          <cell r="A555" t="str">
            <v>T_TW-BEVELC-S4</v>
          </cell>
          <cell r="B555" t="str">
            <v>VAR_ncap</v>
          </cell>
          <cell r="C555" t="str">
            <v>-</v>
          </cell>
          <cell r="D555">
            <v>3.0140700038696E-4</v>
          </cell>
          <cell r="E555">
            <v>2.1324697202101901E-4</v>
          </cell>
          <cell r="F555">
            <v>2.22911479366507E-4</v>
          </cell>
          <cell r="G555">
            <v>1.8345273723183799E-4</v>
          </cell>
          <cell r="H555">
            <v>1.8647294292804399E-4</v>
          </cell>
          <cell r="I555">
            <v>1.48186969533828E-4</v>
          </cell>
        </row>
        <row r="556">
          <cell r="A556" t="str">
            <v>T_TW-BEVELC-S4</v>
          </cell>
          <cell r="B556" t="str">
            <v>VAR_cap</v>
          </cell>
          <cell r="C556" t="str">
            <v>-</v>
          </cell>
          <cell r="D556">
            <v>3.1436709383574074E-4</v>
          </cell>
          <cell r="E556">
            <v>5.4123181682721208E-4</v>
          </cell>
          <cell r="F556">
            <v>7.6418746124640332E-4</v>
          </cell>
          <cell r="G556">
            <v>9.4745240226833626E-4</v>
          </cell>
          <cell r="H556">
            <v>1.364526420438193E-3</v>
          </cell>
          <cell r="I556">
            <v>8.4737078106129936E-4</v>
          </cell>
        </row>
        <row r="557">
          <cell r="A557" t="str">
            <v>T_B_u-BeVELCEXT</v>
          </cell>
          <cell r="B557" t="str">
            <v>VAR_fout</v>
          </cell>
          <cell r="C557" t="str">
            <v>TPBSu</v>
          </cell>
          <cell r="D557">
            <v>1.9616087306409779E-3</v>
          </cell>
          <cell r="E557">
            <v>1.6156121901406808E-3</v>
          </cell>
          <cell r="F557">
            <v>1.0085037644775941E-3</v>
          </cell>
        </row>
        <row r="558">
          <cell r="A558" t="str">
            <v>T_B_u-BeVELCEXT</v>
          </cell>
          <cell r="B558" t="str">
            <v>VAR_fin</v>
          </cell>
          <cell r="C558" t="str">
            <v>TELC</v>
          </cell>
          <cell r="D558">
            <v>4.6809687344595243E-4</v>
          </cell>
          <cell r="E558">
            <v>4.7887716614303792E-4</v>
          </cell>
          <cell r="F558">
            <v>4.6940544902919262E-4</v>
          </cell>
        </row>
        <row r="559">
          <cell r="A559" t="str">
            <v>T_B_u-BeVELCEXT</v>
          </cell>
          <cell r="B559" t="str">
            <v>VAR_cap</v>
          </cell>
          <cell r="C559" t="str">
            <v>-</v>
          </cell>
          <cell r="D559">
            <v>3.77895550061805E-5</v>
          </cell>
          <cell r="E559">
            <v>3.02316440049444E-5</v>
          </cell>
          <cell r="F559">
            <v>1.8894777503090199E-5</v>
          </cell>
        </row>
        <row r="560">
          <cell r="A560" t="str">
            <v>T_B_u-HYBDSL-S1</v>
          </cell>
          <cell r="B560" t="str">
            <v>VAR_fout</v>
          </cell>
          <cell r="C560" t="str">
            <v>CO2_T</v>
          </cell>
          <cell r="E560">
            <v>1.7742197634719501</v>
          </cell>
          <cell r="F560">
            <v>1.8674044466862139</v>
          </cell>
          <cell r="H560">
            <v>3.0780111817188099E-4</v>
          </cell>
          <cell r="I560">
            <v>5.1631418206466501E-5</v>
          </cell>
        </row>
        <row r="561">
          <cell r="A561" t="str">
            <v>T_B_u-HYBDSL-S1</v>
          </cell>
          <cell r="B561" t="str">
            <v>VAR_fout</v>
          </cell>
          <cell r="C561" t="str">
            <v>TPBSu</v>
          </cell>
          <cell r="E561">
            <v>3.9336291653872214E-3</v>
          </cell>
          <cell r="F561">
            <v>4.1509327316300677E-3</v>
          </cell>
          <cell r="H561">
            <v>8.593589591496888E-7</v>
          </cell>
          <cell r="I561">
            <v>1.441512690819871E-7</v>
          </cell>
        </row>
        <row r="562">
          <cell r="A562" t="str">
            <v>T_B_u-HYBDSL-S1</v>
          </cell>
          <cell r="B562" t="str">
            <v>VAR_fin</v>
          </cell>
          <cell r="C562" t="str">
            <v>TDSL</v>
          </cell>
          <cell r="E562">
            <v>2.4204908096479589E-2</v>
          </cell>
          <cell r="F562">
            <v>2.5476186175801038E-2</v>
          </cell>
          <cell r="H562">
            <v>4.1991967008442181E-6</v>
          </cell>
          <cell r="I562">
            <v>7.0438496871032022E-7</v>
          </cell>
        </row>
        <row r="563">
          <cell r="A563" t="str">
            <v>T_B_u-HYBDSL-S1</v>
          </cell>
          <cell r="B563" t="str">
            <v>VAR_ncap</v>
          </cell>
          <cell r="C563" t="str">
            <v>-</v>
          </cell>
          <cell r="E563">
            <v>7.4576303729543495E-5</v>
          </cell>
          <cell r="F563">
            <v>4.5291904280203798E-6</v>
          </cell>
          <cell r="H563">
            <v>3.2339336630328498E-8</v>
          </cell>
        </row>
        <row r="564">
          <cell r="A564" t="str">
            <v>T_B_u-HYBDSL-S1</v>
          </cell>
          <cell r="B564" t="str">
            <v>VAR_cap</v>
          </cell>
          <cell r="C564" t="str">
            <v>-</v>
          </cell>
          <cell r="E564">
            <v>7.4576303729543495E-5</v>
          </cell>
          <cell r="F564">
            <v>7.909532968895539E-5</v>
          </cell>
          <cell r="G564">
            <v>9.4803110935030334E-9</v>
          </cell>
          <cell r="H564">
            <v>3.405618036975499E-8</v>
          </cell>
          <cell r="I564">
            <v>2.7909768501543099E-8</v>
          </cell>
        </row>
        <row r="565">
          <cell r="A565" t="str">
            <v>T_B_u-HYBDSL-S2</v>
          </cell>
          <cell r="B565" t="str">
            <v>VAR_fout</v>
          </cell>
          <cell r="C565" t="str">
            <v>CO2_T</v>
          </cell>
          <cell r="E565">
            <v>6.6602314230525997E-2</v>
          </cell>
          <cell r="F565">
            <v>0.11794413702738449</v>
          </cell>
          <cell r="I565">
            <v>1.8316608423179161E-4</v>
          </cell>
        </row>
        <row r="566">
          <cell r="A566" t="str">
            <v>T_B_u-HYBDSL-S2</v>
          </cell>
          <cell r="B566" t="str">
            <v>VAR_fout</v>
          </cell>
          <cell r="C566" t="str">
            <v>TPBSu</v>
          </cell>
          <cell r="E566">
            <v>1.0584946278341858E-4</v>
          </cell>
          <cell r="F566">
            <v>1.9141262790904544E-4</v>
          </cell>
          <cell r="I566">
            <v>3.6208158248241437E-7</v>
          </cell>
        </row>
        <row r="567">
          <cell r="A567" t="str">
            <v>T_B_u-HYBDSL-S2</v>
          </cell>
          <cell r="B567" t="str">
            <v>VAR_fin</v>
          </cell>
          <cell r="C567" t="str">
            <v>TDSL</v>
          </cell>
          <cell r="E567">
            <v>9.0862638786529278E-4</v>
          </cell>
          <cell r="F567">
            <v>1.6090605324336224E-3</v>
          </cell>
          <cell r="I567">
            <v>2.4988551736942911E-6</v>
          </cell>
        </row>
        <row r="568">
          <cell r="A568" t="str">
            <v>T_B_u-HYBDSL-S2</v>
          </cell>
          <cell r="B568" t="str">
            <v>VAR_ncap</v>
          </cell>
          <cell r="C568" t="str">
            <v>-</v>
          </cell>
          <cell r="E568">
            <v>2.1156401390161899E-6</v>
          </cell>
          <cell r="F568">
            <v>1.6083355715735401E-6</v>
          </cell>
        </row>
        <row r="569">
          <cell r="A569" t="str">
            <v>T_B_u-HYBDSL-S2</v>
          </cell>
          <cell r="B569" t="str">
            <v>VAR_cap</v>
          </cell>
          <cell r="C569" t="str">
            <v>-</v>
          </cell>
          <cell r="E569">
            <v>2.1156401390161899E-6</v>
          </cell>
          <cell r="F569">
            <v>3.7239757105897302E-6</v>
          </cell>
          <cell r="G569">
            <v>-1.6779512377389811E-8</v>
          </cell>
          <cell r="H569">
            <v>-3.0950066585729805E-8</v>
          </cell>
          <cell r="I569">
            <v>4.7463359866174398E-9</v>
          </cell>
        </row>
        <row r="570">
          <cell r="A570" t="str">
            <v>T_B_u-HYBDSL-S3</v>
          </cell>
          <cell r="B570" t="str">
            <v>VAR_fout</v>
          </cell>
          <cell r="C570" t="str">
            <v>CO2_T</v>
          </cell>
          <cell r="E570">
            <v>0.108988012605399</v>
          </cell>
          <cell r="F570">
            <v>0.16523332852870709</v>
          </cell>
          <cell r="H570">
            <v>1.09682693110242E-3</v>
          </cell>
          <cell r="I570">
            <v>1.95905387689119E-3</v>
          </cell>
        </row>
        <row r="571">
          <cell r="A571" t="str">
            <v>T_B_u-HYBDSL-S3</v>
          </cell>
          <cell r="B571" t="str">
            <v>VAR_fout</v>
          </cell>
          <cell r="C571" t="str">
            <v>TPBSu</v>
          </cell>
          <cell r="E571">
            <v>1.1632697716500603E-4</v>
          </cell>
          <cell r="F571">
            <v>1.7929407494547415E-4</v>
          </cell>
          <cell r="H571">
            <v>1.4773793778325068E-6</v>
          </cell>
          <cell r="I571">
            <v>2.6387625209684175E-6</v>
          </cell>
        </row>
        <row r="572">
          <cell r="A572" t="str">
            <v>T_B_u-HYBDSL-S3</v>
          </cell>
          <cell r="B572" t="str">
            <v>VAR_fin</v>
          </cell>
          <cell r="C572" t="str">
            <v>TDSL</v>
          </cell>
          <cell r="E572">
            <v>1.4868760246302697E-3</v>
          </cell>
          <cell r="F572">
            <v>2.2542063919332445E-3</v>
          </cell>
          <cell r="H572">
            <v>1.4963532484344035E-5</v>
          </cell>
          <cell r="I572">
            <v>2.6726519466455516E-5</v>
          </cell>
        </row>
        <row r="573">
          <cell r="A573" t="str">
            <v>T_B_u-HYBDSL-S3</v>
          </cell>
          <cell r="B573" t="str">
            <v>VAR_ncap</v>
          </cell>
          <cell r="C573" t="str">
            <v>-</v>
          </cell>
          <cell r="E573">
            <v>2.2548076054410801E-6</v>
          </cell>
          <cell r="F573">
            <v>1.15681705180988E-6</v>
          </cell>
          <cell r="H573">
            <v>2.1672058034016898E-8</v>
          </cell>
        </row>
        <row r="574">
          <cell r="A574" t="str">
            <v>T_B_u-HYBDSL-S3</v>
          </cell>
          <cell r="B574" t="str">
            <v>VAR_cap</v>
          </cell>
          <cell r="C574" t="str">
            <v>-</v>
          </cell>
          <cell r="E574">
            <v>2.2548076054410801E-6</v>
          </cell>
          <cell r="F574">
            <v>3.4116246572509598E-6</v>
          </cell>
          <cell r="G574">
            <v>-2.330405717599995E-8</v>
          </cell>
          <cell r="H574">
            <v>-3.2370220317386404E-8</v>
          </cell>
          <cell r="I574">
            <v>7.4231403373272297E-9</v>
          </cell>
        </row>
        <row r="575">
          <cell r="A575" t="str">
            <v>T_C-HY-GSL-S1</v>
          </cell>
          <cell r="B575" t="str">
            <v>VAR_fout</v>
          </cell>
          <cell r="C575" t="str">
            <v>CO2_T</v>
          </cell>
          <cell r="D575">
            <v>2.9955727836974209</v>
          </cell>
          <cell r="E575">
            <v>4.1611620413835739</v>
          </cell>
          <cell r="F575">
            <v>2.967936847916679</v>
          </cell>
          <cell r="G575">
            <v>2.3890205624710825</v>
          </cell>
          <cell r="H575">
            <v>3.0979293011039119E-2</v>
          </cell>
        </row>
        <row r="576">
          <cell r="A576" t="str">
            <v>T_C-HY-GSL-S1</v>
          </cell>
          <cell r="B576" t="str">
            <v>VAR_fout</v>
          </cell>
          <cell r="C576" t="str">
            <v>TPCAR</v>
          </cell>
          <cell r="D576">
            <v>4.8003954100105065E-2</v>
          </cell>
          <cell r="E576">
            <v>6.5901228644990359E-2</v>
          </cell>
          <cell r="F576">
            <v>4.6860715811012185E-2</v>
          </cell>
          <cell r="G576">
            <v>3.8981216426023493E-2</v>
          </cell>
          <cell r="H576">
            <v>3.9660511441577423E-4</v>
          </cell>
        </row>
        <row r="577">
          <cell r="A577" t="str">
            <v>T_C-HY-GSL-S1</v>
          </cell>
          <cell r="B577" t="str">
            <v>VAR_fin</v>
          </cell>
          <cell r="C577" t="str">
            <v>TGSL</v>
          </cell>
          <cell r="D577">
            <v>4.0590417123271272E-2</v>
          </cell>
          <cell r="E577">
            <v>5.63843095038426E-2</v>
          </cell>
          <cell r="F577">
            <v>4.0215946448735496E-2</v>
          </cell>
          <cell r="G577">
            <v>3.2371552337006573E-2</v>
          </cell>
          <cell r="H577">
            <v>4.1977361803576001E-4</v>
          </cell>
        </row>
        <row r="578">
          <cell r="A578" t="str">
            <v>T_C-HY-GSL-S1</v>
          </cell>
          <cell r="B578" t="str">
            <v>VAR_ncap</v>
          </cell>
          <cell r="C578" t="str">
            <v>-</v>
          </cell>
          <cell r="E578">
            <v>4.9907026844761397E-4</v>
          </cell>
          <cell r="F578">
            <v>1.7694393240971201E-4</v>
          </cell>
          <cell r="G578">
            <v>1.06605064345638E-4</v>
          </cell>
        </row>
        <row r="579">
          <cell r="A579" t="str">
            <v>T_C-HY-GSL-S1</v>
          </cell>
          <cell r="B579" t="str">
            <v>VAR_cap</v>
          </cell>
          <cell r="C579" t="str">
            <v>-</v>
          </cell>
          <cell r="D579">
            <v>5.6681056066955069E-3</v>
          </cell>
          <cell r="E579">
            <v>7.0519887890452141E-3</v>
          </cell>
          <cell r="F579">
            <v>7.0908202484858936E-3</v>
          </cell>
          <cell r="G579">
            <v>5.7585525332894396E-3</v>
          </cell>
          <cell r="H579">
            <v>5.5568399263089299E-5</v>
          </cell>
        </row>
        <row r="580">
          <cell r="A580" t="str">
            <v>T_B_u-HYBDSL-S4</v>
          </cell>
          <cell r="B580" t="str">
            <v>VAR_fout</v>
          </cell>
          <cell r="C580" t="str">
            <v>CO2_T</v>
          </cell>
          <cell r="E580">
            <v>6.1595646219338397E-3</v>
          </cell>
          <cell r="F580">
            <v>1.2266186806376429E-2</v>
          </cell>
          <cell r="I580">
            <v>1.8000657601158301E-3</v>
          </cell>
        </row>
        <row r="581">
          <cell r="A581" t="str">
            <v>T_B_u-HYBDSL-S4</v>
          </cell>
          <cell r="B581" t="str">
            <v>VAR_fout</v>
          </cell>
          <cell r="C581" t="str">
            <v>TPBSu</v>
          </cell>
          <cell r="E581">
            <v>4.432822681255187E-6</v>
          </cell>
          <cell r="F581">
            <v>9.0276371337143652E-6</v>
          </cell>
          <cell r="I581">
            <v>1.6374155841155918E-6</v>
          </cell>
        </row>
        <row r="582">
          <cell r="A582" t="str">
            <v>T_B_u-HYBDSL-S4</v>
          </cell>
          <cell r="B582" t="str">
            <v>VAR_fin</v>
          </cell>
          <cell r="C582" t="str">
            <v>TDSL</v>
          </cell>
          <cell r="E582">
            <v>8.4032259507965001E-5</v>
          </cell>
          <cell r="F582">
            <v>1.673422483816703E-4</v>
          </cell>
          <cell r="I582">
            <v>2.4557513780570658E-5</v>
          </cell>
        </row>
        <row r="583">
          <cell r="A583" t="str">
            <v>T_B_u-HYBDSL-S4</v>
          </cell>
          <cell r="B583" t="str">
            <v>VAR_ncap</v>
          </cell>
          <cell r="C583" t="str">
            <v>-</v>
          </cell>
          <cell r="E583">
            <v>8.5132786443835606E-8</v>
          </cell>
          <cell r="F583">
            <v>7.3727899693710204E-8</v>
          </cell>
        </row>
        <row r="584">
          <cell r="A584" t="str">
            <v>T_B_u-HYBDSL-S4</v>
          </cell>
          <cell r="B584" t="str">
            <v>VAR_cap</v>
          </cell>
          <cell r="C584" t="str">
            <v>-</v>
          </cell>
          <cell r="E584">
            <v>8.5132786443835606E-8</v>
          </cell>
          <cell r="F584">
            <v>1.5886068613754601E-7</v>
          </cell>
          <cell r="G584">
            <v>-1.6658413830741809E-8</v>
          </cell>
          <cell r="H584">
            <v>-3.1086567470592298E-8</v>
          </cell>
        </row>
        <row r="585">
          <cell r="A585" t="str">
            <v>TFRLFDSLEXT</v>
          </cell>
          <cell r="B585" t="str">
            <v>VAR_fout</v>
          </cell>
          <cell r="C585" t="str">
            <v>CO2_T</v>
          </cell>
          <cell r="D585">
            <v>29.032891706080601</v>
          </cell>
          <cell r="E585">
            <v>20.3620204636149</v>
          </cell>
          <cell r="F585">
            <v>0.21272734696172699</v>
          </cell>
          <cell r="G585">
            <v>3.0582472239699801E-2</v>
          </cell>
          <cell r="H585">
            <v>3.2218941035517597E-2</v>
          </cell>
        </row>
        <row r="586">
          <cell r="A586" t="str">
            <v>TFRLFDSLEXT</v>
          </cell>
          <cell r="B586" t="str">
            <v>VAR_fout</v>
          </cell>
          <cell r="C586" t="str">
            <v>TFRLF</v>
          </cell>
          <cell r="D586">
            <v>1.6053540959316082E-3</v>
          </cell>
          <cell r="E586">
            <v>1.1259041394716222E-3</v>
          </cell>
          <cell r="F586">
            <v>1.1762614665426173E-5</v>
          </cell>
          <cell r="G586">
            <v>1.6910371027021849E-6</v>
          </cell>
          <cell r="H586">
            <v>1.7815245371205798E-6</v>
          </cell>
        </row>
        <row r="587">
          <cell r="A587" t="str">
            <v>TFRLFDSLEXT</v>
          </cell>
          <cell r="B587" t="str">
            <v>VAR_fin</v>
          </cell>
          <cell r="C587" t="str">
            <v>TDSL</v>
          </cell>
          <cell r="D587">
            <v>0.3960831064949602</v>
          </cell>
          <cell r="E587">
            <v>0.27779018367823932</v>
          </cell>
          <cell r="F587">
            <v>2.9021466161217912E-3</v>
          </cell>
          <cell r="G587">
            <v>4.1722335934106194E-4</v>
          </cell>
          <cell r="H587">
            <v>4.3954899093475591E-4</v>
          </cell>
        </row>
        <row r="588">
          <cell r="A588" t="str">
            <v>TFRLFDSLEXT</v>
          </cell>
          <cell r="B588" t="str">
            <v>VAR_ncap</v>
          </cell>
          <cell r="C588" t="str">
            <v>-</v>
          </cell>
          <cell r="D588">
            <v>1.4823126943575601E-4</v>
          </cell>
        </row>
        <row r="589">
          <cell r="A589" t="str">
            <v>TFRLFDSLEXT</v>
          </cell>
          <cell r="B589" t="str">
            <v>VAR_cap</v>
          </cell>
          <cell r="C589" t="str">
            <v>-</v>
          </cell>
          <cell r="D589">
            <v>1.4823126943575601E-4</v>
          </cell>
          <cell r="E589">
            <v>1.4823126943575601E-4</v>
          </cell>
          <cell r="F589">
            <v>1.2136312544360015E-6</v>
          </cell>
          <cell r="G589">
            <v>2.9701394122801485E-7</v>
          </cell>
          <cell r="H589">
            <v>2.9389767199701662E-7</v>
          </cell>
          <cell r="I589">
            <v>1.0327349656850048E-7</v>
          </cell>
        </row>
        <row r="590">
          <cell r="A590" t="str">
            <v>T_C-HY-GSL-S2</v>
          </cell>
          <cell r="B590" t="str">
            <v>VAR_fout</v>
          </cell>
          <cell r="C590" t="str">
            <v>CO2_T</v>
          </cell>
          <cell r="D590">
            <v>7.9257576813584922</v>
          </cell>
          <cell r="E590">
            <v>22.765298293496599</v>
          </cell>
          <cell r="F590">
            <v>63.743789774852516</v>
          </cell>
          <cell r="G590">
            <v>57.726933383941741</v>
          </cell>
          <cell r="H590">
            <v>2.854503497178432</v>
          </cell>
        </row>
        <row r="591">
          <cell r="A591" t="str">
            <v>T_C-HY-GSL-S2</v>
          </cell>
          <cell r="B591" t="str">
            <v>VAR_fout</v>
          </cell>
          <cell r="C591" t="str">
            <v>TPCAR</v>
          </cell>
          <cell r="D591">
            <v>0.16668635106445306</v>
          </cell>
          <cell r="E591">
            <v>0.65109454219060225</v>
          </cell>
          <cell r="F591">
            <v>1.6925152830349273</v>
          </cell>
          <cell r="G591">
            <v>1.5212846352353924</v>
          </cell>
          <cell r="H591">
            <v>7.1595492595005944E-2</v>
          </cell>
        </row>
        <row r="592">
          <cell r="A592" t="str">
            <v>T_C-HY-GSL-S2</v>
          </cell>
          <cell r="B592" t="str">
            <v>VAR_fin</v>
          </cell>
          <cell r="C592" t="str">
            <v>TGSL</v>
          </cell>
          <cell r="D592">
            <v>0.10739509053331289</v>
          </cell>
          <cell r="E592">
            <v>0.30847287660564499</v>
          </cell>
          <cell r="F592">
            <v>0.86373698881914007</v>
          </cell>
          <cell r="G592">
            <v>0.78220776943010339</v>
          </cell>
          <cell r="H592">
            <v>3.8678909175859588E-2</v>
          </cell>
        </row>
        <row r="593">
          <cell r="A593" t="str">
            <v>T_C-HY-GSL-S2</v>
          </cell>
          <cell r="B593" t="str">
            <v>VAR_ncap</v>
          </cell>
          <cell r="C593" t="str">
            <v>-</v>
          </cell>
          <cell r="E593">
            <v>2.0441998301486599E-2</v>
          </cell>
          <cell r="F593">
            <v>8.9474434212658702E-2</v>
          </cell>
          <cell r="G593">
            <v>4.7873481788996699E-5</v>
          </cell>
        </row>
        <row r="594">
          <cell r="A594" t="str">
            <v>T_C-HY-GSL-S2</v>
          </cell>
          <cell r="B594" t="str">
            <v>VAR_cap</v>
          </cell>
          <cell r="C594" t="str">
            <v>-</v>
          </cell>
          <cell r="D594">
            <v>1.7225103801339386E-2</v>
          </cell>
          <cell r="E594">
            <v>4.940015246514335E-2</v>
          </cell>
          <cell r="F594">
            <v>0.13544638263768963</v>
          </cell>
          <cell r="G594">
            <v>0.11542622622938392</v>
          </cell>
          <cell r="H594">
            <v>7.487464908451257E-3</v>
          </cell>
        </row>
        <row r="595">
          <cell r="A595" t="str">
            <v>TPSHPNGAEXT</v>
          </cell>
          <cell r="B595" t="str">
            <v>VAR_ncap</v>
          </cell>
          <cell r="C595" t="str">
            <v>-</v>
          </cell>
          <cell r="D595">
            <v>5.4056894263060696E-6</v>
          </cell>
          <cell r="E595">
            <v>8.0334431422417492E-6</v>
          </cell>
          <cell r="F595">
            <v>1.2190108653675301E-5</v>
          </cell>
          <cell r="G595">
            <v>6.8713266426298703E-6</v>
          </cell>
          <cell r="H595">
            <v>4.6413242772353301E-6</v>
          </cell>
          <cell r="I595">
            <v>2.56465640228767E-6</v>
          </cell>
        </row>
        <row r="596">
          <cell r="A596" t="str">
            <v>TPSHPNGAEXT</v>
          </cell>
          <cell r="B596" t="str">
            <v>VAR_cap</v>
          </cell>
          <cell r="C596" t="str">
            <v>-</v>
          </cell>
          <cell r="D596">
            <v>5.4056894263060696E-6</v>
          </cell>
          <cell r="E596">
            <v>1.34391325685478E-5</v>
          </cell>
          <cell r="F596">
            <v>1.8970605892905959E-5</v>
          </cell>
          <cell r="G596">
            <v>1.3202987910696699E-5</v>
          </cell>
          <cell r="H596">
            <v>-9.4554566944631002E-6</v>
          </cell>
          <cell r="I596">
            <v>-1.518631731653996E-7</v>
          </cell>
        </row>
        <row r="597">
          <cell r="A597" t="str">
            <v>T_C-HY-DSL-S1</v>
          </cell>
          <cell r="B597" t="str">
            <v>VAR_fout</v>
          </cell>
          <cell r="C597" t="str">
            <v>CO2_T</v>
          </cell>
          <cell r="D597">
            <v>2.57679070829061E-3</v>
          </cell>
          <cell r="E597">
            <v>12.00093429087554</v>
          </cell>
          <cell r="F597">
            <v>8.0271115373476363</v>
          </cell>
          <cell r="G597">
            <v>6.5112885761921584</v>
          </cell>
          <cell r="H597">
            <v>2.7302149759453231E-2</v>
          </cell>
        </row>
        <row r="598">
          <cell r="A598" t="str">
            <v>T_C-HY-DSL-S1</v>
          </cell>
          <cell r="B598" t="str">
            <v>VAR_fout</v>
          </cell>
          <cell r="C598" t="str">
            <v>TPCAR</v>
          </cell>
          <cell r="D598">
            <v>1.470286462965819E-5</v>
          </cell>
          <cell r="E598">
            <v>0.27792767326005768</v>
          </cell>
          <cell r="F598">
            <v>0.18558843104756906</v>
          </cell>
          <cell r="G598">
            <v>0.14993407053627536</v>
          </cell>
          <cell r="H598">
            <v>3.7399922362183418E-4</v>
          </cell>
        </row>
        <row r="599">
          <cell r="A599" t="str">
            <v>T_C-HY-DSL-S1</v>
          </cell>
          <cell r="B599" t="str">
            <v>VAR_fin</v>
          </cell>
          <cell r="C599" t="str">
            <v>TDSL</v>
          </cell>
          <cell r="D599">
            <v>3.5154034219517237E-5</v>
          </cell>
          <cell r="E599">
            <v>0.16372352375000812</v>
          </cell>
          <cell r="F599">
            <v>0.10951038932261443</v>
          </cell>
          <cell r="G599">
            <v>8.8830676346414103E-2</v>
          </cell>
          <cell r="H599">
            <v>3.724713473322402E-4</v>
          </cell>
        </row>
        <row r="600">
          <cell r="A600" t="str">
            <v>T_C-HY-DSL-S1</v>
          </cell>
          <cell r="B600" t="str">
            <v>VAR_ncap</v>
          </cell>
          <cell r="C600" t="str">
            <v>-</v>
          </cell>
          <cell r="E600">
            <v>3.0092495129783702E-2</v>
          </cell>
          <cell r="F600">
            <v>2.0455449005771901E-4</v>
          </cell>
          <cell r="G600">
            <v>9.1607050075179794E-5</v>
          </cell>
        </row>
        <row r="601">
          <cell r="A601" t="str">
            <v>T_C-HY-DSL-S1</v>
          </cell>
          <cell r="B601" t="str">
            <v>VAR_cap</v>
          </cell>
          <cell r="C601" t="str">
            <v>-</v>
          </cell>
          <cell r="D601">
            <v>1.5999999999999999E-6</v>
          </cell>
          <cell r="E601">
            <v>2.9693469200622401E-2</v>
          </cell>
          <cell r="F601">
            <v>2.8195662217262472E-2</v>
          </cell>
          <cell r="G601">
            <v>2.2738271605133517E-2</v>
          </cell>
          <cell r="H601">
            <v>5.2128242868921439E-5</v>
          </cell>
        </row>
        <row r="602">
          <cell r="A602" t="str">
            <v>T_C-HY-GSL-S3</v>
          </cell>
          <cell r="B602" t="str">
            <v>VAR_fout</v>
          </cell>
          <cell r="C602" t="str">
            <v>CO2_T</v>
          </cell>
          <cell r="D602">
            <v>5.9063185442112136</v>
          </cell>
          <cell r="E602">
            <v>84.46138172186491</v>
          </cell>
          <cell r="F602">
            <v>79.941658016452521</v>
          </cell>
          <cell r="G602">
            <v>63.960123124841772</v>
          </cell>
          <cell r="H602">
            <v>1.9792747677572511E-2</v>
          </cell>
        </row>
        <row r="603">
          <cell r="A603" t="str">
            <v>T_C-HY-GSL-S3</v>
          </cell>
          <cell r="B603" t="str">
            <v>VAR_fout</v>
          </cell>
          <cell r="C603" t="str">
            <v>TPCAR</v>
          </cell>
          <cell r="D603">
            <v>0.15199644448021016</v>
          </cell>
          <cell r="E603">
            <v>2.8515041094343903</v>
          </cell>
          <cell r="F603">
            <v>2.6954562402996642</v>
          </cell>
          <cell r="G603">
            <v>2.1711853301247608</v>
          </cell>
          <cell r="H603">
            <v>2.7240462238971525E-4</v>
          </cell>
        </row>
        <row r="604">
          <cell r="A604" t="str">
            <v>T_C-HY-GSL-S3</v>
          </cell>
          <cell r="B604" t="str">
            <v>VAR_fin</v>
          </cell>
          <cell r="C604" t="str">
            <v>TGSL</v>
          </cell>
          <cell r="D604">
            <v>8.0031416588227808E-2</v>
          </cell>
          <cell r="E604">
            <v>1.1444631669629388</v>
          </cell>
          <cell r="F604">
            <v>1.0832202983259116</v>
          </cell>
          <cell r="G604">
            <v>0.86666833502495644</v>
          </cell>
          <cell r="H604">
            <v>2.6819441297523721E-4</v>
          </cell>
        </row>
        <row r="605">
          <cell r="A605" t="str">
            <v>T_C-HY-GSL-S3</v>
          </cell>
          <cell r="B605" t="str">
            <v>VAR_ncap</v>
          </cell>
          <cell r="C605" t="str">
            <v>-</v>
          </cell>
          <cell r="E605">
            <v>0.172433159136787</v>
          </cell>
          <cell r="F605">
            <v>1.38704318700401E-4</v>
          </cell>
          <cell r="G605">
            <v>2.48178529808213E-5</v>
          </cell>
        </row>
        <row r="606">
          <cell r="A606" t="str">
            <v>T_C-HY-GSL-S3</v>
          </cell>
          <cell r="B606" t="str">
            <v>VAR_cap</v>
          </cell>
          <cell r="C606" t="str">
            <v>-</v>
          </cell>
          <cell r="D606">
            <v>1.4247135744071644E-2</v>
          </cell>
          <cell r="E606">
            <v>0.19607214521873104</v>
          </cell>
          <cell r="F606">
            <v>0.1853895565728797</v>
          </cell>
          <cell r="G606">
            <v>0.149300892181886</v>
          </cell>
          <cell r="H606">
            <v>2.1068813562107658E-5</v>
          </cell>
        </row>
        <row r="607">
          <cell r="A607" t="str">
            <v>T_C-HY-DSL-S2</v>
          </cell>
          <cell r="B607" t="str">
            <v>VAR_fout</v>
          </cell>
          <cell r="C607" t="str">
            <v>CO2_T</v>
          </cell>
          <cell r="D607">
            <v>0.1873332460355111</v>
          </cell>
          <cell r="E607">
            <v>38.381330579584848</v>
          </cell>
          <cell r="F607">
            <v>94.111578685897712</v>
          </cell>
          <cell r="G607">
            <v>80.038698892072375</v>
          </cell>
          <cell r="H607">
            <v>3.570986839441467</v>
          </cell>
        </row>
        <row r="608">
          <cell r="A608" t="str">
            <v>T_C-HY-DSL-S2</v>
          </cell>
          <cell r="B608" t="str">
            <v>VAR_fout</v>
          </cell>
          <cell r="C608" t="str">
            <v>TPCAR</v>
          </cell>
          <cell r="D608">
            <v>3.0266470688505064E-3</v>
          </cell>
          <cell r="E608">
            <v>1.4031647795477253</v>
          </cell>
          <cell r="F608">
            <v>2.8665616758182475</v>
          </cell>
          <cell r="G608">
            <v>2.4199810129285306</v>
          </cell>
          <cell r="H608">
            <v>9.4852100828699007E-2</v>
          </cell>
        </row>
        <row r="609">
          <cell r="A609" t="str">
            <v>T_C-HY-DSL-S2</v>
          </cell>
          <cell r="B609" t="str">
            <v>VAR_fin</v>
          </cell>
          <cell r="C609" t="str">
            <v>TDSL</v>
          </cell>
          <cell r="D609">
            <v>2.5557059486427092E-3</v>
          </cell>
          <cell r="E609">
            <v>0.5236197896259871</v>
          </cell>
          <cell r="F609">
            <v>1.283923310858085</v>
          </cell>
          <cell r="G609">
            <v>1.0919331363174938</v>
          </cell>
          <cell r="H609">
            <v>4.8717419364822212E-2</v>
          </cell>
        </row>
        <row r="610">
          <cell r="A610" t="str">
            <v>T_C-HY-DSL-S2</v>
          </cell>
          <cell r="B610" t="str">
            <v>VAR_ncap</v>
          </cell>
          <cell r="C610" t="str">
            <v>-</v>
          </cell>
          <cell r="E610">
            <v>0.10737190096423201</v>
          </cell>
          <cell r="F610">
            <v>0.118729601312551</v>
          </cell>
          <cell r="G610">
            <v>4.1946820546520001E-5</v>
          </cell>
        </row>
        <row r="611">
          <cell r="A611" t="str">
            <v>T_C-HY-DSL-S2</v>
          </cell>
          <cell r="B611" t="str">
            <v>VAR_cap</v>
          </cell>
          <cell r="C611" t="str">
            <v>-</v>
          </cell>
          <cell r="D611">
            <v>2.5973428153452862E-4</v>
          </cell>
          <cell r="E611">
            <v>0.10646303024118703</v>
          </cell>
          <cell r="F611">
            <v>0.2175210383729739</v>
          </cell>
          <cell r="G611">
            <v>0.18361492117259423</v>
          </cell>
          <cell r="H611">
            <v>9.9273607212239431E-3</v>
          </cell>
        </row>
        <row r="612">
          <cell r="A612" t="str">
            <v>D-T-ELC-Bus_c_S1</v>
          </cell>
          <cell r="B612" t="str">
            <v>VAR_fout</v>
          </cell>
          <cell r="C612" t="str">
            <v>T-ELC-Bus_c_BatSTGin_S1</v>
          </cell>
          <cell r="D612">
            <v>4.1675693594932136E-4</v>
          </cell>
          <cell r="E612">
            <v>2.1338267669740877E-3</v>
          </cell>
          <cell r="F612">
            <v>3.9533302414340409E-3</v>
          </cell>
          <cell r="G612">
            <v>0.15271026487326406</v>
          </cell>
          <cell r="H612">
            <v>0.14413984482589121</v>
          </cell>
          <cell r="I612">
            <v>0.12378221213733662</v>
          </cell>
        </row>
        <row r="613">
          <cell r="A613" t="str">
            <v>D-T-ELC-Bus_c_S1</v>
          </cell>
          <cell r="B613" t="str">
            <v>VAR_fin</v>
          </cell>
          <cell r="C613" t="str">
            <v>TELC</v>
          </cell>
          <cell r="D613">
            <v>4.1675693594932136E-4</v>
          </cell>
          <cell r="E613">
            <v>2.1338267669740877E-3</v>
          </cell>
          <cell r="F613">
            <v>3.9533302414340409E-3</v>
          </cell>
          <cell r="G613">
            <v>0.15271026487326406</v>
          </cell>
          <cell r="H613">
            <v>0.14413984482589121</v>
          </cell>
          <cell r="I613">
            <v>0.12378221213733662</v>
          </cell>
        </row>
        <row r="614">
          <cell r="A614" t="str">
            <v>D-T-ELC-Bus_c_S1</v>
          </cell>
          <cell r="B614" t="str">
            <v>VAR_ncap</v>
          </cell>
          <cell r="C614" t="str">
            <v>-</v>
          </cell>
          <cell r="D614">
            <v>7.3540234700608101E-5</v>
          </cell>
          <cell r="E614">
            <v>3.9406204318068199E-4</v>
          </cell>
          <cell r="F614">
            <v>3.3241196685571302E-4</v>
          </cell>
          <cell r="G614">
            <v>1.77701861756673E-2</v>
          </cell>
          <cell r="H614">
            <v>1.4426029952955499E-2</v>
          </cell>
          <cell r="I614">
            <v>8.0029654531532605E-3</v>
          </cell>
        </row>
        <row r="615">
          <cell r="A615" t="str">
            <v>D-T-ELC-Bus_c_S1</v>
          </cell>
          <cell r="B615" t="str">
            <v>VAR_cap</v>
          </cell>
          <cell r="C615" t="str">
            <v>-</v>
          </cell>
          <cell r="D615">
            <v>7.3540234700608101E-5</v>
          </cell>
          <cell r="E615">
            <v>4.6760227788128999E-4</v>
          </cell>
          <cell r="F615">
            <v>8.0001424473700295E-4</v>
          </cell>
          <cell r="G615">
            <v>1.8498257917594001E-2</v>
          </cell>
          <cell r="H615">
            <v>1.7598585490722199E-2</v>
          </cell>
          <cell r="I615">
            <v>1.52420945835568E-2</v>
          </cell>
        </row>
        <row r="616">
          <cell r="A616" t="str">
            <v>T_C-HY-GSL-S4</v>
          </cell>
          <cell r="B616" t="str">
            <v>VAR_fout</v>
          </cell>
          <cell r="C616" t="str">
            <v>CO2_T</v>
          </cell>
          <cell r="D616">
            <v>6.5421579991958989</v>
          </cell>
          <cell r="E616">
            <v>10.114481190060388</v>
          </cell>
          <cell r="F616">
            <v>9.7464487380536582</v>
          </cell>
          <cell r="G616">
            <v>8.1253402452193662</v>
          </cell>
          <cell r="H616">
            <v>2.0542596226020102E-2</v>
          </cell>
        </row>
        <row r="617">
          <cell r="A617" t="str">
            <v>T_C-HY-GSL-S4</v>
          </cell>
          <cell r="B617" t="str">
            <v>VAR_fout</v>
          </cell>
          <cell r="C617" t="str">
            <v>TPCAR</v>
          </cell>
          <cell r="D617">
            <v>0.101682195483686</v>
          </cell>
          <cell r="E617">
            <v>0.18253125657549402</v>
          </cell>
          <cell r="F617">
            <v>0.17549272777415392</v>
          </cell>
          <cell r="G617">
            <v>0.14763528382590102</v>
          </cell>
          <cell r="H617">
            <v>2.3632636585866999E-4</v>
          </cell>
        </row>
        <row r="618">
          <cell r="A618" t="str">
            <v>T_C-HY-GSL-S4</v>
          </cell>
          <cell r="B618" t="str">
            <v>VAR_fin</v>
          </cell>
          <cell r="C618" t="str">
            <v>TGSL</v>
          </cell>
          <cell r="D618">
            <v>8.8647127360377942E-2</v>
          </cell>
          <cell r="E618">
            <v>0.13705259065122483</v>
          </cell>
          <cell r="F618">
            <v>0.13206570105763776</v>
          </cell>
          <cell r="G618">
            <v>0.11009946131733543</v>
          </cell>
          <cell r="H618">
            <v>2.7835496241219581E-4</v>
          </cell>
        </row>
        <row r="619">
          <cell r="A619" t="str">
            <v>T_C-HY-GSL-S4</v>
          </cell>
          <cell r="B619" t="str">
            <v>VAR_ncap</v>
          </cell>
          <cell r="C619" t="str">
            <v>-</v>
          </cell>
          <cell r="E619">
            <v>3.1465049027265101E-4</v>
          </cell>
          <cell r="F619">
            <v>1.2258377786731299E-4</v>
          </cell>
          <cell r="G619">
            <v>2.9454845195816698E-5</v>
          </cell>
        </row>
        <row r="620">
          <cell r="A620" t="str">
            <v>T_C-HY-GSL-S4</v>
          </cell>
          <cell r="B620" t="str">
            <v>VAR_cap</v>
          </cell>
          <cell r="C620" t="str">
            <v>-</v>
          </cell>
          <cell r="D620">
            <v>8.318921790104114E-3</v>
          </cell>
          <cell r="E620">
            <v>1.4389303513741411E-2</v>
          </cell>
          <cell r="F620">
            <v>1.3914977126757603E-2</v>
          </cell>
          <cell r="G620">
            <v>1.1661079501342599E-2</v>
          </cell>
          <cell r="H620">
            <v>2.1498318040862404E-5</v>
          </cell>
        </row>
        <row r="621">
          <cell r="A621" t="str">
            <v>T_C-HY-DSL-S3</v>
          </cell>
          <cell r="B621" t="str">
            <v>VAR_fout</v>
          </cell>
          <cell r="C621" t="str">
            <v>CO2_T</v>
          </cell>
          <cell r="D621">
            <v>1.9745930552981807</v>
          </cell>
          <cell r="E621">
            <v>3.4322226533415541</v>
          </cell>
          <cell r="F621">
            <v>3.3361875104611531</v>
          </cell>
          <cell r="G621">
            <v>2.546674106525558</v>
          </cell>
          <cell r="H621">
            <v>1.8260749389324971E-2</v>
          </cell>
        </row>
        <row r="622">
          <cell r="A622" t="str">
            <v>T_C-HY-DSL-S3</v>
          </cell>
          <cell r="B622" t="str">
            <v>VAR_fout</v>
          </cell>
          <cell r="C622" t="str">
            <v>TPCAR</v>
          </cell>
          <cell r="D622">
            <v>2.4411691145886545E-2</v>
          </cell>
          <cell r="E622">
            <v>5.637712964456093E-2</v>
          </cell>
          <cell r="F622">
            <v>5.4649868728404702E-2</v>
          </cell>
          <cell r="G622">
            <v>4.3977115878709769E-2</v>
          </cell>
          <cell r="H622">
            <v>2.1177421364711462E-4</v>
          </cell>
        </row>
        <row r="623">
          <cell r="A623" t="str">
            <v>T_C-HY-DSL-S3</v>
          </cell>
          <cell r="B623" t="str">
            <v>VAR_fin</v>
          </cell>
          <cell r="C623" t="str">
            <v>TDSL</v>
          </cell>
          <cell r="D623">
            <v>2.6938513714845524E-2</v>
          </cell>
          <cell r="E623">
            <v>4.6824319963732063E-2</v>
          </cell>
          <cell r="F623">
            <v>4.5514154303699234E-2</v>
          </cell>
          <cell r="G623">
            <v>3.474316652831598E-2</v>
          </cell>
          <cell r="H623">
            <v>2.4912345688028574E-4</v>
          </cell>
        </row>
        <row r="624">
          <cell r="A624" t="str">
            <v>T_C-HY-DSL-S3</v>
          </cell>
          <cell r="B624" t="str">
            <v>VAR_ncap</v>
          </cell>
          <cell r="C624" t="str">
            <v>-</v>
          </cell>
          <cell r="E624">
            <v>2.1402911466705999E-4</v>
          </cell>
          <cell r="F624">
            <v>9.2942722713261895E-5</v>
          </cell>
          <cell r="G624">
            <v>2.2694593703933499E-5</v>
          </cell>
        </row>
        <row r="625">
          <cell r="A625" t="str">
            <v>T_C-HY-DSL-S3</v>
          </cell>
          <cell r="B625" t="str">
            <v>VAR_cap</v>
          </cell>
          <cell r="C625" t="str">
            <v>-</v>
          </cell>
          <cell r="D625">
            <v>1.8557133087051701E-3</v>
          </cell>
          <cell r="E625">
            <v>3.8854279418744334E-3</v>
          </cell>
          <cell r="F625">
            <v>3.7887104746826181E-3</v>
          </cell>
          <cell r="G625">
            <v>3.0385282158556775E-3</v>
          </cell>
          <cell r="H625">
            <v>1.6436583828831708E-5</v>
          </cell>
        </row>
        <row r="626">
          <cell r="A626" t="str">
            <v>D-T-ELC-Bus_c_S2</v>
          </cell>
          <cell r="B626" t="str">
            <v>VAR_fout</v>
          </cell>
          <cell r="C626" t="str">
            <v>T-ELC-Bus_c_BatSTGin_S2</v>
          </cell>
          <cell r="D626">
            <v>1.1735507913640155E-3</v>
          </cell>
          <cell r="E626">
            <v>2.1687303749723164E-3</v>
          </cell>
          <cell r="F626">
            <v>2.7468439926588489E-3</v>
          </cell>
          <cell r="G626">
            <v>0.18593776028153883</v>
          </cell>
          <cell r="H626">
            <v>0.17241534402884712</v>
          </cell>
          <cell r="I626">
            <v>0.1535304171684749</v>
          </cell>
        </row>
        <row r="627">
          <cell r="A627" t="str">
            <v>D-T-ELC-Bus_c_S2</v>
          </cell>
          <cell r="B627" t="str">
            <v>VAR_fin</v>
          </cell>
          <cell r="C627" t="str">
            <v>TELC</v>
          </cell>
          <cell r="D627">
            <v>1.1735507913640155E-3</v>
          </cell>
          <cell r="E627">
            <v>2.1687303749723164E-3</v>
          </cell>
          <cell r="F627">
            <v>2.7468439926588489E-3</v>
          </cell>
          <cell r="G627">
            <v>0.18593776028153883</v>
          </cell>
          <cell r="H627">
            <v>0.17241534402884712</v>
          </cell>
          <cell r="I627">
            <v>0.1535304171684749</v>
          </cell>
        </row>
        <row r="628">
          <cell r="A628" t="str">
            <v>D-T-ELC-Bus_c_S2</v>
          </cell>
          <cell r="B628" t="str">
            <v>VAR_ncap</v>
          </cell>
          <cell r="C628" t="str">
            <v>-</v>
          </cell>
          <cell r="D628">
            <v>1.4289044901841401E-4</v>
          </cell>
          <cell r="E628">
            <v>9.6805393610504005E-5</v>
          </cell>
          <cell r="F628">
            <v>9.2823365306338106E-5</v>
          </cell>
          <cell r="G628">
            <v>2.2273278462714902E-2</v>
          </cell>
          <cell r="H628">
            <v>1.70989431731026E-2</v>
          </cell>
          <cell r="I628">
            <v>1.0352709401115601E-2</v>
          </cell>
        </row>
        <row r="629">
          <cell r="A629" t="str">
            <v>D-T-ELC-Bus_c_S2</v>
          </cell>
          <cell r="B629" t="str">
            <v>VAR_cap</v>
          </cell>
          <cell r="C629" t="str">
            <v>-</v>
          </cell>
          <cell r="D629">
            <v>1.4289044901841401E-4</v>
          </cell>
          <cell r="E629">
            <v>2.39695842628918E-4</v>
          </cell>
          <cell r="F629">
            <v>3.3251920793525699E-4</v>
          </cell>
          <cell r="G629">
            <v>2.2554633427523198E-2</v>
          </cell>
          <cell r="H629">
            <v>2.1080722395876401E-2</v>
          </cell>
          <cell r="I629">
            <v>1.8934359113339599E-2</v>
          </cell>
        </row>
        <row r="630">
          <cell r="A630" t="str">
            <v>T_C-HY-DSL-S4</v>
          </cell>
          <cell r="B630" t="str">
            <v>VAR_fout</v>
          </cell>
          <cell r="C630" t="str">
            <v>CO2_T</v>
          </cell>
          <cell r="D630">
            <v>2.572373978162954</v>
          </cell>
          <cell r="E630">
            <v>5.3482303125328006</v>
          </cell>
          <cell r="F630">
            <v>5.1280439298306257</v>
          </cell>
          <cell r="G630">
            <v>4.2471454783169698</v>
          </cell>
          <cell r="H630">
            <v>1.8986985463885199E-2</v>
          </cell>
        </row>
        <row r="631">
          <cell r="A631" t="str">
            <v>T_C-HY-DSL-S4</v>
          </cell>
          <cell r="B631" t="str">
            <v>VAR_fout</v>
          </cell>
          <cell r="C631" t="str">
            <v>TPCAR</v>
          </cell>
          <cell r="D631">
            <v>4.7183190968261159E-2</v>
          </cell>
          <cell r="E631">
            <v>0.11534650785090125</v>
          </cell>
          <cell r="F631">
            <v>0.11090934856546077</v>
          </cell>
          <cell r="G631">
            <v>9.3461948793707533E-2</v>
          </cell>
          <cell r="H631">
            <v>2.2272457144779454E-4</v>
          </cell>
        </row>
        <row r="632">
          <cell r="A632" t="str">
            <v>T_C-HY-DSL-S4</v>
          </cell>
          <cell r="B632" t="str">
            <v>VAR_fin</v>
          </cell>
          <cell r="C632" t="str">
            <v>TDSL</v>
          </cell>
          <cell r="D632">
            <v>3.5093778692536909E-2</v>
          </cell>
          <cell r="E632">
            <v>7.2963578615727165E-2</v>
          </cell>
          <cell r="F632">
            <v>6.9959671621154448E-2</v>
          </cell>
          <cell r="G632">
            <v>5.7941957412236733E-2</v>
          </cell>
          <cell r="H632">
            <v>2.5903117958915665E-4</v>
          </cell>
        </row>
        <row r="633">
          <cell r="A633" t="str">
            <v>T_C-HY-DSL-S4</v>
          </cell>
          <cell r="B633" t="str">
            <v>VAR_ncap</v>
          </cell>
          <cell r="C633" t="str">
            <v>-</v>
          </cell>
          <cell r="E633">
            <v>3.2819277414817199E-4</v>
          </cell>
          <cell r="F633">
            <v>1.1914074679638299E-4</v>
          </cell>
          <cell r="G633">
            <v>2.6929365426337799E-5</v>
          </cell>
        </row>
        <row r="634">
          <cell r="A634" t="str">
            <v>T_C-HY-DSL-S4</v>
          </cell>
          <cell r="B634" t="str">
            <v>VAR_cap</v>
          </cell>
          <cell r="C634" t="str">
            <v>-</v>
          </cell>
          <cell r="D634">
            <v>3.7727294125401815E-3</v>
          </cell>
          <cell r="E634">
            <v>9.0935799442440225E-3</v>
          </cell>
          <cell r="F634">
            <v>8.7844497513389942E-3</v>
          </cell>
          <cell r="G634">
            <v>7.3815390584664282E-3</v>
          </cell>
          <cell r="H634">
            <v>2.0243684963607548E-5</v>
          </cell>
        </row>
        <row r="635">
          <cell r="A635" t="str">
            <v>D-T-ELC-Bus_c_S3</v>
          </cell>
          <cell r="B635" t="str">
            <v>VAR_fout</v>
          </cell>
          <cell r="C635" t="str">
            <v>T-ELC-Bus_c_BatSTGin_S3</v>
          </cell>
          <cell r="D635">
            <v>4.5813156070783788E-4</v>
          </cell>
          <cell r="E635">
            <v>8.004411612281485E-4</v>
          </cell>
          <cell r="F635">
            <v>1.0766274280382055E-3</v>
          </cell>
          <cell r="G635">
            <v>5.9491262186881777E-2</v>
          </cell>
          <cell r="H635">
            <v>5.53781890592746E-2</v>
          </cell>
          <cell r="I635">
            <v>4.9773521162401135E-2</v>
          </cell>
        </row>
        <row r="636">
          <cell r="A636" t="str">
            <v>D-T-ELC-Bus_c_S3</v>
          </cell>
          <cell r="B636" t="str">
            <v>VAR_fin</v>
          </cell>
          <cell r="C636" t="str">
            <v>TELC</v>
          </cell>
          <cell r="D636">
            <v>4.5813156070783788E-4</v>
          </cell>
          <cell r="E636">
            <v>8.004411612281485E-4</v>
          </cell>
          <cell r="F636">
            <v>1.0766274280382055E-3</v>
          </cell>
          <cell r="G636">
            <v>5.9491262186881777E-2</v>
          </cell>
          <cell r="H636">
            <v>5.53781890592746E-2</v>
          </cell>
          <cell r="I636">
            <v>4.9773521162401135E-2</v>
          </cell>
        </row>
        <row r="637">
          <cell r="A637" t="str">
            <v>D-T-ELC-Bus_c_S3</v>
          </cell>
          <cell r="B637" t="str">
            <v>VAR_ncap</v>
          </cell>
          <cell r="C637" t="str">
            <v>-</v>
          </cell>
          <cell r="D637">
            <v>6.0993962844820797E-5</v>
          </cell>
          <cell r="E637">
            <v>2.7718313113015501E-5</v>
          </cell>
          <cell r="F637">
            <v>3.8710741253495501E-5</v>
          </cell>
          <cell r="G637">
            <v>6.9736651452212001E-3</v>
          </cell>
          <cell r="H637">
            <v>4.9285259606164098E-3</v>
          </cell>
          <cell r="I637">
            <v>4.3561363785549799E-3</v>
          </cell>
        </row>
        <row r="638">
          <cell r="A638" t="str">
            <v>D-T-ELC-Bus_c_S3</v>
          </cell>
          <cell r="B638" t="str">
            <v>VAR_cap</v>
          </cell>
          <cell r="C638" t="str">
            <v>-</v>
          </cell>
          <cell r="D638">
            <v>6.0993962844820797E-5</v>
          </cell>
          <cell r="E638">
            <v>8.8712275957836294E-5</v>
          </cell>
          <cell r="F638">
            <v>1.2742301721133201E-4</v>
          </cell>
          <cell r="G638">
            <v>7.0562345482224603E-3</v>
          </cell>
          <cell r="H638">
            <v>6.7284391248597702E-3</v>
          </cell>
          <cell r="I638">
            <v>6.0442612351971703E-3</v>
          </cell>
        </row>
        <row r="639">
          <cell r="A639" t="str">
            <v>D-T-ELC-Bus_c_S4</v>
          </cell>
          <cell r="B639" t="str">
            <v>VAR_fout</v>
          </cell>
          <cell r="C639" t="str">
            <v>T-ELC-Bus_c_BatSTGin_S4</v>
          </cell>
          <cell r="D639">
            <v>2.1420241858305554E-5</v>
          </cell>
          <cell r="E639">
            <v>2.0398770442801967E-4</v>
          </cell>
          <cell r="F639">
            <v>2.8897292817442412E-4</v>
          </cell>
          <cell r="G639">
            <v>2.0109693328476945E-4</v>
          </cell>
          <cell r="H639">
            <v>1.2642673625302516E-3</v>
          </cell>
          <cell r="I639">
            <v>8.6928953161977422E-4</v>
          </cell>
        </row>
        <row r="640">
          <cell r="A640" t="str">
            <v>D-T-ELC-Bus_c_S4</v>
          </cell>
          <cell r="B640" t="str">
            <v>VAR_fin</v>
          </cell>
          <cell r="C640" t="str">
            <v>TELC</v>
          </cell>
          <cell r="D640">
            <v>2.1420241858305554E-5</v>
          </cell>
          <cell r="E640">
            <v>2.0398770442801967E-4</v>
          </cell>
          <cell r="F640">
            <v>2.8897292817442412E-4</v>
          </cell>
          <cell r="G640">
            <v>2.0109693328476945E-4</v>
          </cell>
          <cell r="H640">
            <v>1.2642673625302516E-3</v>
          </cell>
          <cell r="I640">
            <v>8.6928953161977422E-4</v>
          </cell>
        </row>
        <row r="641">
          <cell r="A641" t="str">
            <v>D-T-ELC-Bus_c_S4</v>
          </cell>
          <cell r="B641" t="str">
            <v>VAR_ncap</v>
          </cell>
          <cell r="C641" t="str">
            <v>-</v>
          </cell>
          <cell r="D641">
            <v>1.5709048842804301E-5</v>
          </cell>
          <cell r="E641">
            <v>1.14577770564365E-5</v>
          </cell>
          <cell r="F641">
            <v>8.4576039858523994E-6</v>
          </cell>
          <cell r="G641">
            <v>5.5859361887016302E-6</v>
          </cell>
          <cell r="H641">
            <v>2.21001856943185E-4</v>
          </cell>
          <cell r="I641">
            <v>1.1565255613102101E-4</v>
          </cell>
        </row>
        <row r="642">
          <cell r="A642" t="str">
            <v>D-T-ELC-Bus_c_S4</v>
          </cell>
          <cell r="B642" t="str">
            <v>VAR_cap</v>
          </cell>
          <cell r="C642" t="str">
            <v>-</v>
          </cell>
          <cell r="D642">
            <v>1.5709048842804301E-5</v>
          </cell>
          <cell r="E642">
            <v>2.7166825899240799E-5</v>
          </cell>
          <cell r="F642">
            <v>3.5624429885093197E-5</v>
          </cell>
          <cell r="G642">
            <v>1.7666225481820501E-5</v>
          </cell>
          <cell r="H642">
            <v>2.4041975361817499E-4</v>
          </cell>
          <cell r="I642">
            <v>1.54435870630931E-4</v>
          </cell>
        </row>
        <row r="643">
          <cell r="A643" t="str">
            <v>D-TH2O</v>
          </cell>
          <cell r="B643" t="str">
            <v>VAR_fout</v>
          </cell>
          <cell r="C643" t="str">
            <v>TH2Ointl</v>
          </cell>
          <cell r="H643">
            <v>5.5033892169754801E-5</v>
          </cell>
          <cell r="I643">
            <v>1.28706253122271E-5</v>
          </cell>
        </row>
        <row r="644">
          <cell r="A644" t="str">
            <v>D-TH2O</v>
          </cell>
          <cell r="B644" t="str">
            <v>VAR_fout</v>
          </cell>
          <cell r="C644" t="str">
            <v>TH2O</v>
          </cell>
          <cell r="D644">
            <v>4.1720028877363083E-3</v>
          </cell>
          <cell r="E644">
            <v>4.9234768950852364E-3</v>
          </cell>
          <cell r="F644">
            <v>4.9744737134452665E-3</v>
          </cell>
          <cell r="G644">
            <v>1.9850565679638468E-3</v>
          </cell>
          <cell r="H644">
            <v>3.9846012724583744E-3</v>
          </cell>
          <cell r="I644">
            <v>3.4727374672685269E-3</v>
          </cell>
        </row>
        <row r="645">
          <cell r="A645" t="str">
            <v>D-TH2O</v>
          </cell>
          <cell r="B645" t="str">
            <v>VAR_fin</v>
          </cell>
          <cell r="C645" t="str">
            <v>H2</v>
          </cell>
          <cell r="D645">
            <v>4.1720028877363083E-3</v>
          </cell>
          <cell r="E645">
            <v>4.9234768950852364E-3</v>
          </cell>
          <cell r="F645">
            <v>4.9744737134452665E-3</v>
          </cell>
          <cell r="G645">
            <v>1.9850565679638468E-3</v>
          </cell>
          <cell r="H645">
            <v>4.0396351646281303E-3</v>
          </cell>
          <cell r="I645">
            <v>3.4856080925807532E-3</v>
          </cell>
        </row>
        <row r="646">
          <cell r="A646" t="str">
            <v>D-TH2O</v>
          </cell>
          <cell r="B646" t="str">
            <v>VAR_ncap</v>
          </cell>
          <cell r="C646" t="str">
            <v>-</v>
          </cell>
          <cell r="D646">
            <v>9.3668549196019397E-4</v>
          </cell>
          <cell r="E646">
            <v>1.9581096306411801E-5</v>
          </cell>
          <cell r="F646">
            <v>2.7155426420819699E-6</v>
          </cell>
          <cell r="G646">
            <v>1.9516418834668698E-6</v>
          </cell>
          <cell r="H646">
            <v>5.1219670116100202E-5</v>
          </cell>
          <cell r="I646">
            <v>1.00667669699751E-6</v>
          </cell>
        </row>
        <row r="647">
          <cell r="A647" t="str">
            <v>D-TH2O</v>
          </cell>
          <cell r="B647" t="str">
            <v>VAR_cap</v>
          </cell>
          <cell r="C647" t="str">
            <v>-</v>
          </cell>
          <cell r="D647">
            <v>9.3668549196019397E-4</v>
          </cell>
          <cell r="E647">
            <v>9.56266588266606E-4</v>
          </cell>
          <cell r="F647">
            <v>9.5898213090868801E-4</v>
          </cell>
          <cell r="G647">
            <v>9.60933772792155E-4</v>
          </cell>
          <cell r="H647">
            <v>1.06440926227157E-3</v>
          </cell>
          <cell r="I647">
            <v>1.0654159389685699E-3</v>
          </cell>
        </row>
        <row r="648">
          <cell r="A648" t="str">
            <v>TFHGV-HYBDSL</v>
          </cell>
          <cell r="B648" t="str">
            <v>VAR_fout</v>
          </cell>
          <cell r="C648" t="str">
            <v>CO2_T</v>
          </cell>
          <cell r="E648">
            <v>82.996246536425602</v>
          </cell>
          <cell r="F648">
            <v>303.49543445440463</v>
          </cell>
          <cell r="G648">
            <v>186.72389816363534</v>
          </cell>
          <cell r="H648">
            <v>213.17400498259479</v>
          </cell>
          <cell r="I648">
            <v>3.5612520005134499E-2</v>
          </cell>
        </row>
        <row r="649">
          <cell r="A649" t="str">
            <v>TFHGV-HYBDSL</v>
          </cell>
          <cell r="B649" t="str">
            <v>VAR_fout</v>
          </cell>
          <cell r="C649" t="str">
            <v>TFHGV</v>
          </cell>
          <cell r="E649">
            <v>0.1850905205614726</v>
          </cell>
          <cell r="F649">
            <v>0.67682733009549056</v>
          </cell>
          <cell r="G649">
            <v>0.41641429528028834</v>
          </cell>
          <cell r="H649">
            <v>0.47540086689445177</v>
          </cell>
          <cell r="I649">
            <v>7.9419734522130436E-5</v>
          </cell>
        </row>
        <row r="650">
          <cell r="A650" t="str">
            <v>TFHGV-HYBDSL</v>
          </cell>
          <cell r="B650" t="str">
            <v>VAR_fin</v>
          </cell>
          <cell r="C650" t="str">
            <v>TDSL</v>
          </cell>
          <cell r="E650">
            <v>1.1322816717111266</v>
          </cell>
          <cell r="F650">
            <v>4.1404561317108426</v>
          </cell>
          <cell r="G650">
            <v>2.5473928808135846</v>
          </cell>
          <cell r="H650">
            <v>2.9082401771158866</v>
          </cell>
          <cell r="I650">
            <v>4.8584611193907938E-4</v>
          </cell>
        </row>
        <row r="651">
          <cell r="A651" t="str">
            <v>TFHGV-HYBDSL</v>
          </cell>
          <cell r="B651" t="str">
            <v>VAR_ncap</v>
          </cell>
          <cell r="C651" t="str">
            <v>-</v>
          </cell>
          <cell r="E651">
            <v>3.4821363773354201E-3</v>
          </cell>
          <cell r="F651">
            <v>9.2531038931051995E-3</v>
          </cell>
          <cell r="G651">
            <v>6.8563680775277001E-6</v>
          </cell>
          <cell r="H651">
            <v>1.11967960784142E-5</v>
          </cell>
        </row>
        <row r="652">
          <cell r="A652" t="str">
            <v>TFHGV-HYBDSL</v>
          </cell>
          <cell r="B652" t="str">
            <v>VAR_cap</v>
          </cell>
          <cell r="C652" t="str">
            <v>-</v>
          </cell>
          <cell r="E652">
            <v>3.4821363773354201E-3</v>
          </cell>
          <cell r="F652">
            <v>1.2735240270440601E-2</v>
          </cell>
          <cell r="G652">
            <v>7.8343537030432907E-3</v>
          </cell>
          <cell r="H652">
            <v>1.0833201304163501E-2</v>
          </cell>
          <cell r="I652">
            <v>1.9528301098367106E-6</v>
          </cell>
        </row>
        <row r="653">
          <cell r="A653" t="str">
            <v>D-TKER</v>
          </cell>
          <cell r="B653" t="str">
            <v>VAR_fout</v>
          </cell>
          <cell r="C653" t="str">
            <v>CO2</v>
          </cell>
          <cell r="D653">
            <v>80.761889960861595</v>
          </cell>
          <cell r="E653">
            <v>102.284461210385</v>
          </cell>
          <cell r="F653">
            <v>134.201813263818</v>
          </cell>
          <cell r="G653">
            <v>187.11201256477301</v>
          </cell>
          <cell r="H653">
            <v>153.64248937709201</v>
          </cell>
          <cell r="I653">
            <v>2.0514206570615599E-4</v>
          </cell>
        </row>
        <row r="654">
          <cell r="A654" t="str">
            <v>D-TKER</v>
          </cell>
          <cell r="B654" t="str">
            <v>VAR_fout</v>
          </cell>
          <cell r="C654" t="str">
            <v>TKER</v>
          </cell>
          <cell r="D654">
            <v>1.09306325230521</v>
          </cell>
          <cell r="E654">
            <v>1.38435821505777</v>
          </cell>
          <cell r="F654">
            <v>1.81634023847751</v>
          </cell>
          <cell r="G654">
            <v>2.5324477312076401</v>
          </cell>
          <cell r="H654">
            <v>2.0794580118442099</v>
          </cell>
          <cell r="I654">
            <v>2.7764735772534202E-6</v>
          </cell>
        </row>
        <row r="655">
          <cell r="A655" t="str">
            <v>D-TKER</v>
          </cell>
          <cell r="B655" t="str">
            <v>VAR_fin</v>
          </cell>
          <cell r="C655" t="str">
            <v>KER</v>
          </cell>
          <cell r="D655">
            <v>1.1093666203414991</v>
          </cell>
          <cell r="E655">
            <v>1.4050063353074913</v>
          </cell>
          <cell r="F655">
            <v>1.8434315008766184</v>
          </cell>
          <cell r="G655">
            <v>2.5702199528128182</v>
          </cell>
          <cell r="H655">
            <v>2.1104737551798438</v>
          </cell>
          <cell r="I655">
            <v>2.8178855179416872E-6</v>
          </cell>
        </row>
        <row r="656">
          <cell r="A656" t="str">
            <v>T_B_u-BEVELC-S1</v>
          </cell>
          <cell r="B656" t="str">
            <v>VAR_fout</v>
          </cell>
          <cell r="C656" t="str">
            <v>TPBSu</v>
          </cell>
          <cell r="D656">
            <v>9.3160605250914286E-8</v>
          </cell>
          <cell r="E656">
            <v>3.2283601494926288E-3</v>
          </cell>
          <cell r="F656">
            <v>4.7219177793929512E-3</v>
          </cell>
          <cell r="G656">
            <v>0.10596606336894022</v>
          </cell>
          <cell r="H656">
            <v>0.1194815804388943</v>
          </cell>
          <cell r="I656">
            <v>0.12783370757505844</v>
          </cell>
        </row>
        <row r="657">
          <cell r="A657" t="str">
            <v>T_B_u-BEVELC-S1</v>
          </cell>
          <cell r="B657" t="str">
            <v>VAR_fin</v>
          </cell>
          <cell r="C657" t="str">
            <v>T-ELC-Bus_u_BatSTGout_S1</v>
          </cell>
          <cell r="D657">
            <v>2.4600547637036157E-7</v>
          </cell>
          <cell r="E657">
            <v>8.2267164330248471E-3</v>
          </cell>
          <cell r="F657">
            <v>1.1840854108145343E-2</v>
          </cell>
          <cell r="G657">
            <v>0.23698179132421535</v>
          </cell>
          <cell r="H657">
            <v>0.2513230102892155</v>
          </cell>
          <cell r="I657">
            <v>0.24170184218043533</v>
          </cell>
        </row>
        <row r="658">
          <cell r="A658" t="str">
            <v>T_B_u-BEVELC-S1</v>
          </cell>
          <cell r="B658" t="str">
            <v>VAR_ncap</v>
          </cell>
          <cell r="C658" t="str">
            <v>-</v>
          </cell>
          <cell r="E658">
            <v>6.1325896211504802E-5</v>
          </cell>
          <cell r="F658">
            <v>2.9206809723634901E-5</v>
          </cell>
          <cell r="G658">
            <v>1.9916157785321402E-3</v>
          </cell>
          <cell r="H658">
            <v>4.39318817418835E-4</v>
          </cell>
          <cell r="I658">
            <v>2.3900267515163201E-3</v>
          </cell>
        </row>
        <row r="659">
          <cell r="A659" t="str">
            <v>T_B_u-BEVELC-S1</v>
          </cell>
          <cell r="B659" t="str">
            <v>VAR_cap</v>
          </cell>
          <cell r="C659" t="str">
            <v>-</v>
          </cell>
          <cell r="D659">
            <v>3.02390998593531E-8</v>
          </cell>
          <cell r="E659">
            <v>6.1367387069451358E-5</v>
          </cell>
          <cell r="F659">
            <v>9.0441381317359602E-5</v>
          </cell>
          <cell r="G659">
            <v>2.0021299300521391E-3</v>
          </cell>
          <cell r="H659">
            <v>2.8724115872938482E-3</v>
          </cell>
          <cell r="I659">
            <v>3.0366939475198465E-3</v>
          </cell>
        </row>
        <row r="660">
          <cell r="A660" t="str">
            <v>TPSHPH2OEXT</v>
          </cell>
          <cell r="B660" t="str">
            <v>VAR_fout</v>
          </cell>
          <cell r="C660" t="str">
            <v>TPSHP</v>
          </cell>
          <cell r="H660">
            <v>5.4827312241011899E-4</v>
          </cell>
          <cell r="I660">
            <v>2.99070952625681E-4</v>
          </cell>
        </row>
        <row r="661">
          <cell r="A661" t="str">
            <v>TPSHPH2OEXT</v>
          </cell>
          <cell r="B661" t="str">
            <v>VAR_fin</v>
          </cell>
          <cell r="C661" t="str">
            <v>TH2O</v>
          </cell>
          <cell r="H661">
            <v>3.0570380158624649E-4</v>
          </cell>
          <cell r="I661">
            <v>1.6675471297916656E-4</v>
          </cell>
        </row>
        <row r="662">
          <cell r="A662" t="str">
            <v>TPSHPH2OEXT</v>
          </cell>
          <cell r="B662" t="str">
            <v>VAR_ncap</v>
          </cell>
          <cell r="C662" t="str">
            <v>-</v>
          </cell>
          <cell r="H662">
            <v>2.8989369356332801E-6</v>
          </cell>
          <cell r="I662">
            <v>3.1521355255135399E-6</v>
          </cell>
        </row>
        <row r="663">
          <cell r="A663" t="str">
            <v>TPSHPH2OEXT</v>
          </cell>
          <cell r="B663" t="str">
            <v>VAR_cap</v>
          </cell>
          <cell r="C663" t="str">
            <v>-</v>
          </cell>
          <cell r="H663">
            <v>6.259796708826999E-6</v>
          </cell>
          <cell r="I663">
            <v>9.5370997659101602E-7</v>
          </cell>
        </row>
        <row r="664">
          <cell r="A664" t="str">
            <v>T_B_u-BEVELC-S2</v>
          </cell>
          <cell r="B664" t="str">
            <v>VAR_fout</v>
          </cell>
          <cell r="C664" t="str">
            <v>TPBSu</v>
          </cell>
          <cell r="D664">
            <v>4.1890881071533461E-4</v>
          </cell>
          <cell r="E664">
            <v>9.1386243724571369E-4</v>
          </cell>
          <cell r="F664">
            <v>2.7453401705496432E-3</v>
          </cell>
          <cell r="G664">
            <v>3.9649746776436637E-2</v>
          </cell>
          <cell r="H664">
            <v>4.313728640193519E-2</v>
          </cell>
          <cell r="I664">
            <v>4.6141864968963719E-2</v>
          </cell>
        </row>
        <row r="665">
          <cell r="A665" t="str">
            <v>T_B_u-BEVELC-S2</v>
          </cell>
          <cell r="B665" t="str">
            <v>VAR_fin</v>
          </cell>
          <cell r="C665" t="str">
            <v>T-ELC-Bus_u_BatSTGout_S2</v>
          </cell>
          <cell r="D665">
            <v>1.5223044463410231E-3</v>
          </cell>
          <cell r="E665">
            <v>3.2687649697986884E-3</v>
          </cell>
          <cell r="F665">
            <v>9.3798475527500404E-3</v>
          </cell>
          <cell r="G665">
            <v>0.12294397081462657</v>
          </cell>
          <cell r="H665">
            <v>0.12547176170746319</v>
          </cell>
          <cell r="I665">
            <v>0.12081442092661047</v>
          </cell>
        </row>
        <row r="666">
          <cell r="A666" t="str">
            <v>T_B_u-BEVELC-S2</v>
          </cell>
          <cell r="B666" t="str">
            <v>VAR_ncap</v>
          </cell>
          <cell r="C666" t="str">
            <v>-</v>
          </cell>
          <cell r="E666">
            <v>6.58911655651825E-6</v>
          </cell>
          <cell r="F666">
            <v>3.46742577825764E-5</v>
          </cell>
          <cell r="G666">
            <v>7.0628274998674396E-4</v>
          </cell>
          <cell r="H666">
            <v>1.2569423326925299E-4</v>
          </cell>
          <cell r="I666">
            <v>6.8771874645806304E-4</v>
          </cell>
        </row>
        <row r="667">
          <cell r="A667" t="str">
            <v>T_B_u-BEVELC-S2</v>
          </cell>
          <cell r="B667" t="str">
            <v>VAR_cap</v>
          </cell>
          <cell r="C667" t="str">
            <v>-</v>
          </cell>
          <cell r="D667">
            <v>7.8760838936586644E-6</v>
          </cell>
          <cell r="E667">
            <v>1.7459721338515449E-5</v>
          </cell>
          <cell r="F667">
            <v>5.211295551800959E-5</v>
          </cell>
          <cell r="G667">
            <v>7.5124703073457615E-4</v>
          </cell>
          <cell r="H667">
            <v>8.15139766885136E-4</v>
          </cell>
          <cell r="I667">
            <v>8.7107655922410217E-4</v>
          </cell>
        </row>
        <row r="668">
          <cell r="A668" t="str">
            <v>TFHGV-ICEDSL</v>
          </cell>
          <cell r="B668" t="str">
            <v>VAR_fout</v>
          </cell>
          <cell r="C668" t="str">
            <v>CO2_T</v>
          </cell>
          <cell r="D668">
            <v>381.36768297582478</v>
          </cell>
          <cell r="E668">
            <v>447.38069323841</v>
          </cell>
          <cell r="F668">
            <v>350.65866683157361</v>
          </cell>
          <cell r="G668">
            <v>32.351916167823845</v>
          </cell>
          <cell r="H668">
            <v>0.16700775568564319</v>
          </cell>
          <cell r="I668">
            <v>1.30809181511666E-2</v>
          </cell>
        </row>
        <row r="669">
          <cell r="A669" t="str">
            <v>TFHGV-ICEDSL</v>
          </cell>
          <cell r="B669" t="str">
            <v>VAR_fout</v>
          </cell>
          <cell r="C669" t="str">
            <v>TFHGV</v>
          </cell>
          <cell r="D669">
            <v>0.6175946038415463</v>
          </cell>
          <cell r="E669">
            <v>0.72449741900245568</v>
          </cell>
          <cell r="F669">
            <v>0.56786379678421539</v>
          </cell>
          <cell r="G669">
            <v>5.2391352862609243E-2</v>
          </cell>
          <cell r="H669">
            <v>2.7045576569653635E-4</v>
          </cell>
          <cell r="I669">
            <v>2.1183505640580357E-5</v>
          </cell>
        </row>
        <row r="670">
          <cell r="A670" t="str">
            <v>TFHGV-ICEDSL</v>
          </cell>
          <cell r="B670" t="str">
            <v>VAR_fin</v>
          </cell>
          <cell r="C670" t="str">
            <v>TDSL</v>
          </cell>
          <cell r="D670">
            <v>5.2028333284559931</v>
          </cell>
          <cell r="E670">
            <v>6.1034200987504734</v>
          </cell>
          <cell r="F670">
            <v>4.7838835856967723</v>
          </cell>
          <cell r="G670">
            <v>0.44136311279432222</v>
          </cell>
          <cell r="H670">
            <v>2.278414129408502E-3</v>
          </cell>
          <cell r="I670">
            <v>1.7845727354934E-4</v>
          </cell>
        </row>
        <row r="671">
          <cell r="A671" t="str">
            <v>TFHGV-ICEDSL</v>
          </cell>
          <cell r="B671" t="str">
            <v>VAR_ncap</v>
          </cell>
          <cell r="C671" t="str">
            <v>-</v>
          </cell>
          <cell r="E671">
            <v>3.7044555505102998E-6</v>
          </cell>
          <cell r="F671">
            <v>4.8403422275976402E-6</v>
          </cell>
          <cell r="G671">
            <v>2.3626735946394802E-6</v>
          </cell>
          <cell r="H671">
            <v>2.83460842420865E-6</v>
          </cell>
        </row>
        <row r="672">
          <cell r="A672" t="str">
            <v>TFHGV-ICEDSL</v>
          </cell>
          <cell r="B672" t="str">
            <v>VAR_cap</v>
          </cell>
          <cell r="C672" t="str">
            <v>-</v>
          </cell>
          <cell r="D672">
            <v>1.1628785156198003E-2</v>
          </cell>
          <cell r="E672">
            <v>1.3631208417095246E-2</v>
          </cell>
          <cell r="F672">
            <v>1.0694269225579266E-2</v>
          </cell>
          <cell r="G672">
            <v>9.8685521083408979E-4</v>
          </cell>
          <cell r="H672">
            <v>6.3015793462447097E-6</v>
          </cell>
          <cell r="I672">
            <v>4.9333873406414507E-7</v>
          </cell>
        </row>
        <row r="673">
          <cell r="A673" t="str">
            <v>D-T-ELC-Bus_u_S1</v>
          </cell>
          <cell r="B673" t="str">
            <v>VAR_fout</v>
          </cell>
          <cell r="C673" t="str">
            <v>T-ELC-Bus_u_BatSTGin_S1</v>
          </cell>
          <cell r="D673">
            <v>2.4724815009334956E-5</v>
          </cell>
          <cell r="E673">
            <v>8.2633668041042635E-3</v>
          </cell>
          <cell r="F673">
            <v>1.1870275176640929E-2</v>
          </cell>
          <cell r="G673">
            <v>0.23752356659724397</v>
          </cell>
          <cell r="H673">
            <v>0.25203681294233887</v>
          </cell>
          <cell r="I673">
            <v>0.24227435006851672</v>
          </cell>
        </row>
        <row r="674">
          <cell r="A674" t="str">
            <v>D-T-ELC-Bus_u_S1</v>
          </cell>
          <cell r="B674" t="str">
            <v>VAR_fin</v>
          </cell>
          <cell r="C674" t="str">
            <v>TELC</v>
          </cell>
          <cell r="D674">
            <v>2.4724815009334956E-5</v>
          </cell>
          <cell r="E674">
            <v>8.2633668041042635E-3</v>
          </cell>
          <cell r="F674">
            <v>1.1870275176640929E-2</v>
          </cell>
          <cell r="G674">
            <v>0.23752356659724397</v>
          </cell>
          <cell r="H674">
            <v>0.25203681294233887</v>
          </cell>
          <cell r="I674">
            <v>0.24227435006851672</v>
          </cell>
        </row>
        <row r="675">
          <cell r="A675" t="str">
            <v>D-T-ELC-Bus_u_S1</v>
          </cell>
          <cell r="B675" t="str">
            <v>VAR_ncap</v>
          </cell>
          <cell r="C675" t="str">
            <v>-</v>
          </cell>
          <cell r="D675">
            <v>4.7305425341054601E-4</v>
          </cell>
          <cell r="E675">
            <v>4.78572120208772E-4</v>
          </cell>
          <cell r="F675">
            <v>8.4254471401945205E-4</v>
          </cell>
          <cell r="G675">
            <v>2.3515293624449599E-2</v>
          </cell>
          <cell r="H675">
            <v>2.07590823982307E-2</v>
          </cell>
          <cell r="I675">
            <v>1.48962909758823E-2</v>
          </cell>
        </row>
        <row r="676">
          <cell r="A676" t="str">
            <v>D-T-ELC-Bus_u_S1</v>
          </cell>
          <cell r="B676" t="str">
            <v>VAR_cap</v>
          </cell>
          <cell r="C676" t="str">
            <v>-</v>
          </cell>
          <cell r="D676">
            <v>4.7305425341054601E-4</v>
          </cell>
          <cell r="E676">
            <v>9.5162637361931703E-4</v>
          </cell>
          <cell r="F676">
            <v>1.7941710876387699E-3</v>
          </cell>
          <cell r="G676">
            <v>2.5119134103136799E-2</v>
          </cell>
          <cell r="H676">
            <v>2.6646876733007301E-2</v>
          </cell>
          <cell r="I676">
            <v>2.5609398450213799E-2</v>
          </cell>
        </row>
        <row r="677">
          <cell r="A677" t="str">
            <v>T-Plg-DSL-mix_S1</v>
          </cell>
          <cell r="B677" t="str">
            <v>VAR_fout</v>
          </cell>
          <cell r="C677" t="str">
            <v>CO2_T</v>
          </cell>
          <cell r="D677">
            <v>1.41619564554069E-3</v>
          </cell>
          <cell r="E677">
            <v>0.16275285195630909</v>
          </cell>
          <cell r="F677">
            <v>0.2048969448224669</v>
          </cell>
          <cell r="G677">
            <v>0.71936432292020802</v>
          </cell>
          <cell r="H677">
            <v>0.41577584077522201</v>
          </cell>
          <cell r="I677">
            <v>4.9669753016163401E-2</v>
          </cell>
        </row>
        <row r="678">
          <cell r="A678" t="str">
            <v>T-Plg-DSL-mix_S1</v>
          </cell>
          <cell r="B678" t="str">
            <v>VAR_fout</v>
          </cell>
          <cell r="C678" t="str">
            <v>T-PEVmix-ELC_DSL_S1</v>
          </cell>
          <cell r="D678">
            <v>1.4073192013850023E-5</v>
          </cell>
          <cell r="E678">
            <v>1.6173274812664553E-3</v>
          </cell>
          <cell r="F678">
            <v>2.0361268985803812E-3</v>
          </cell>
          <cell r="G678">
            <v>7.1485548456859923E-3</v>
          </cell>
          <cell r="H678">
            <v>4.3193564350931255E-3</v>
          </cell>
          <cell r="I678">
            <v>5.3954154430635567E-4</v>
          </cell>
        </row>
        <row r="679">
          <cell r="A679" t="str">
            <v>T-Plg-DSL-mix_S1</v>
          </cell>
          <cell r="B679" t="str">
            <v>VAR_fin</v>
          </cell>
          <cell r="C679" t="str">
            <v>TDSL</v>
          </cell>
          <cell r="D679">
            <v>1.9320540866857969E-5</v>
          </cell>
          <cell r="E679">
            <v>2.2203663295540096E-3</v>
          </cell>
          <cell r="F679">
            <v>2.7953198475097764E-3</v>
          </cell>
          <cell r="G679">
            <v>9.8139743918173091E-3</v>
          </cell>
          <cell r="H679">
            <v>5.6722488509580197E-3</v>
          </cell>
          <cell r="I679">
            <v>6.7762282423142433E-4</v>
          </cell>
        </row>
        <row r="680">
          <cell r="A680" t="str">
            <v>T_B_u-BEVELC-S3</v>
          </cell>
          <cell r="B680" t="str">
            <v>VAR_fout</v>
          </cell>
          <cell r="C680" t="str">
            <v>TPBSu</v>
          </cell>
          <cell r="D680">
            <v>1.4488380771893884E-3</v>
          </cell>
          <cell r="E680">
            <v>2.7208255913468643E-3</v>
          </cell>
          <cell r="F680">
            <v>3.5865662259336171E-3</v>
          </cell>
          <cell r="G680">
            <v>0.17329135763690756</v>
          </cell>
          <cell r="H680">
            <v>0.18853550463957239</v>
          </cell>
          <cell r="I680">
            <v>0.20168080248610945</v>
          </cell>
        </row>
        <row r="681">
          <cell r="A681" t="str">
            <v>T_B_u-BEVELC-S3</v>
          </cell>
          <cell r="B681" t="str">
            <v>VAR_fin</v>
          </cell>
          <cell r="C681" t="str">
            <v>T-ELC-Bus_u_BatSTGout_S3</v>
          </cell>
          <cell r="D681">
            <v>7.9184284490614962E-3</v>
          </cell>
          <cell r="E681">
            <v>1.4765012163263194E-2</v>
          </cell>
          <cell r="F681">
            <v>1.9113736184751567E-2</v>
          </cell>
          <cell r="G681">
            <v>0.80312996596054187</v>
          </cell>
          <cell r="H681">
            <v>0.80006737219420176</v>
          </cell>
          <cell r="I681">
            <v>0.78629648934290119</v>
          </cell>
        </row>
        <row r="682">
          <cell r="A682" t="str">
            <v>T_B_u-BEVELC-S3</v>
          </cell>
          <cell r="B682" t="str">
            <v>VAR_ncap</v>
          </cell>
          <cell r="C682" t="str">
            <v>-</v>
          </cell>
          <cell r="E682">
            <v>3.9506546440369996E-6</v>
          </cell>
          <cell r="F682">
            <v>1.59563711456864E-5</v>
          </cell>
          <cell r="G682">
            <v>3.4859816077528099E-3</v>
          </cell>
          <cell r="H682">
            <v>2.5346943463276299E-3</v>
          </cell>
          <cell r="I682">
            <v>2.9350933174866699E-3</v>
          </cell>
        </row>
        <row r="683">
          <cell r="A683" t="str">
            <v>T_B_u-BEVELC-S3</v>
          </cell>
          <cell r="B683" t="str">
            <v>VAR_cap</v>
          </cell>
          <cell r="C683" t="str">
            <v>-</v>
          </cell>
          <cell r="D683">
            <v>3.4357332082970683E-5</v>
          </cell>
          <cell r="E683">
            <v>5.1383134884323064E-5</v>
          </cell>
          <cell r="F683">
            <v>6.7414058138527794E-5</v>
          </cell>
          <cell r="G683">
            <v>3.5213679624915019E-3</v>
          </cell>
          <cell r="H683">
            <v>3.5556135918883487E-3</v>
          </cell>
          <cell r="I683">
            <v>3.80327998510665E-3</v>
          </cell>
        </row>
        <row r="684">
          <cell r="A684" t="str">
            <v>D-T-ELC-Bus_u_S2</v>
          </cell>
          <cell r="B684" t="str">
            <v>VAR_fout</v>
          </cell>
          <cell r="C684" t="str">
            <v>T-ELC-Bus_u_BatSTGin_S2</v>
          </cell>
          <cell r="D684">
            <v>1.4712792854420786E-3</v>
          </cell>
          <cell r="E684">
            <v>3.2834608131481957E-3</v>
          </cell>
          <cell r="F684">
            <v>9.3687016280196087E-3</v>
          </cell>
          <cell r="G684">
            <v>0.12337690369806395</v>
          </cell>
          <cell r="H684">
            <v>0.12610220942876221</v>
          </cell>
          <cell r="I684">
            <v>0.12133068629399474</v>
          </cell>
        </row>
        <row r="685">
          <cell r="A685" t="str">
            <v>D-T-ELC-Bus_u_S2</v>
          </cell>
          <cell r="B685" t="str">
            <v>VAR_fin</v>
          </cell>
          <cell r="C685" t="str">
            <v>TELC</v>
          </cell>
          <cell r="D685">
            <v>1.4712792854420786E-3</v>
          </cell>
          <cell r="E685">
            <v>3.2834608131481957E-3</v>
          </cell>
          <cell r="F685">
            <v>9.3687016280196087E-3</v>
          </cell>
          <cell r="G685">
            <v>0.12337690369806395</v>
          </cell>
          <cell r="H685">
            <v>0.12610220942876221</v>
          </cell>
          <cell r="I685">
            <v>0.12133068629399474</v>
          </cell>
        </row>
        <row r="686">
          <cell r="A686" t="str">
            <v>D-T-ELC-Bus_u_S2</v>
          </cell>
          <cell r="B686" t="str">
            <v>VAR_ncap</v>
          </cell>
          <cell r="C686" t="str">
            <v>-</v>
          </cell>
          <cell r="D686">
            <v>4.2004851522837902E-4</v>
          </cell>
          <cell r="E686">
            <v>4.0724032100872103E-4</v>
          </cell>
          <cell r="F686">
            <v>8.8212178146924601E-4</v>
          </cell>
          <cell r="G686">
            <v>1.1534618899738501E-2</v>
          </cell>
          <cell r="H686">
            <v>1.0255471303974899E-2</v>
          </cell>
          <cell r="I686">
            <v>7.5011876777822699E-3</v>
          </cell>
        </row>
        <row r="687">
          <cell r="A687" t="str">
            <v>D-T-ELC-Bus_u_S2</v>
          </cell>
          <cell r="B687" t="str">
            <v>VAR_cap</v>
          </cell>
          <cell r="C687" t="str">
            <v>-</v>
          </cell>
          <cell r="D687">
            <v>4.2004851522837902E-4</v>
          </cell>
          <cell r="E687">
            <v>8.2728883623709901E-4</v>
          </cell>
          <cell r="F687">
            <v>1.70941061770635E-3</v>
          </cell>
          <cell r="G687">
            <v>1.3077371657303299E-2</v>
          </cell>
          <cell r="H687">
            <v>1.3339212715427901E-2</v>
          </cell>
          <cell r="I687">
            <v>1.28269931328025E-2</v>
          </cell>
        </row>
        <row r="688">
          <cell r="A688" t="str">
            <v>T-Plg-DSL-mix_S2</v>
          </cell>
          <cell r="B688" t="str">
            <v>VAR_fout</v>
          </cell>
          <cell r="C688" t="str">
            <v>CO2_T</v>
          </cell>
          <cell r="D688">
            <v>1.9051850274569601E-3</v>
          </cell>
          <cell r="E688">
            <v>0.1589617133221668</v>
          </cell>
          <cell r="F688">
            <v>0.45271925463375706</v>
          </cell>
          <cell r="G688">
            <v>1.1152294700467467</v>
          </cell>
          <cell r="H688">
            <v>2.176135027547474</v>
          </cell>
          <cell r="I688">
            <v>0.36775546390553226</v>
          </cell>
        </row>
        <row r="689">
          <cell r="A689" t="str">
            <v>T-Plg-DSL-mix_S2</v>
          </cell>
          <cell r="B689" t="str">
            <v>VAR_fout</v>
          </cell>
          <cell r="C689" t="str">
            <v>T-PEVmix-ELC_DSL_S2</v>
          </cell>
          <cell r="D689">
            <v>1.5478629172052999E-5</v>
          </cell>
          <cell r="E689">
            <v>1.2914805531262737E-3</v>
          </cell>
          <cell r="F689">
            <v>3.6781065148710152E-3</v>
          </cell>
          <cell r="G689">
            <v>9.0606545610115129E-3</v>
          </cell>
          <cell r="H689">
            <v>1.8656487864955232E-2</v>
          </cell>
          <cell r="I689">
            <v>3.3164931719028958E-3</v>
          </cell>
        </row>
        <row r="690">
          <cell r="A690" t="str">
            <v>T-Plg-DSL-mix_S2</v>
          </cell>
          <cell r="B690" t="str">
            <v>VAR_fin</v>
          </cell>
          <cell r="C690" t="str">
            <v>TDSL</v>
          </cell>
          <cell r="D690">
            <v>2.5991610197230054E-5</v>
          </cell>
          <cell r="E690">
            <v>2.1686454750636654E-3</v>
          </cell>
          <cell r="F690">
            <v>6.1762517685369361E-3</v>
          </cell>
          <cell r="G690">
            <v>1.5214590314416741E-2</v>
          </cell>
          <cell r="H690">
            <v>2.9688063131616312E-2</v>
          </cell>
          <cell r="I690">
            <v>5.0171277476880214E-3</v>
          </cell>
        </row>
        <row r="691">
          <cell r="A691" t="str">
            <v>T_B_u-BEVELC-S4</v>
          </cell>
          <cell r="B691" t="str">
            <v>VAR_fout</v>
          </cell>
          <cell r="C691" t="str">
            <v>TPBSu</v>
          </cell>
          <cell r="D691">
            <v>5.6598507013010924E-5</v>
          </cell>
          <cell r="E691">
            <v>1.0171033751002806E-4</v>
          </cell>
          <cell r="F691">
            <v>1.6497733101784293E-4</v>
          </cell>
          <cell r="G691">
            <v>3.8813593531678904E-3</v>
          </cell>
          <cell r="H691">
            <v>4.6194631790885828E-5</v>
          </cell>
          <cell r="I691">
            <v>3.4939775628663075E-5</v>
          </cell>
        </row>
        <row r="692">
          <cell r="A692" t="str">
            <v>T_B_u-BEVELC-S4</v>
          </cell>
          <cell r="B692" t="str">
            <v>VAR_fin</v>
          </cell>
          <cell r="C692" t="str">
            <v>T-ELC-Bus_u_BatSTGout_S4</v>
          </cell>
          <cell r="D692">
            <v>4.6397122332321998E-4</v>
          </cell>
          <cell r="E692">
            <v>8.1759352375009801E-4</v>
          </cell>
          <cell r="F692">
            <v>1.2892504819497553E-3</v>
          </cell>
          <cell r="G692">
            <v>2.6962825714231923E-2</v>
          </cell>
          <cell r="H692">
            <v>2.9473921525523461E-4</v>
          </cell>
          <cell r="I692">
            <v>2.0609521328286397E-4</v>
          </cell>
        </row>
        <row r="693">
          <cell r="A693" t="str">
            <v>T_B_u-BEVELC-S4</v>
          </cell>
          <cell r="B693" t="str">
            <v>VAR_ncap</v>
          </cell>
          <cell r="C693" t="str">
            <v>-</v>
          </cell>
          <cell r="E693">
            <v>8.9858836772871198E-7</v>
          </cell>
          <cell r="F693">
            <v>1.25368822049731E-6</v>
          </cell>
          <cell r="G693">
            <v>4.2154174876936497E-4</v>
          </cell>
          <cell r="H693">
            <v>1.2796715155635301E-6</v>
          </cell>
          <cell r="I693">
            <v>5.6175877799282101E-7</v>
          </cell>
        </row>
        <row r="694">
          <cell r="A694" t="str">
            <v>T_B_u-BEVELC-S4</v>
          </cell>
          <cell r="B694" t="str">
            <v>VAR_cap</v>
          </cell>
          <cell r="C694" t="str">
            <v>-</v>
          </cell>
          <cell r="D694">
            <v>4.2334739803094299E-7</v>
          </cell>
          <cell r="E694">
            <v>1.479460378980471E-6</v>
          </cell>
          <cell r="F694">
            <v>2.6494406413831773E-6</v>
          </cell>
          <cell r="G694">
            <v>4.2280328259136759E-4</v>
          </cell>
          <cell r="H694">
            <v>1.71394240245937E-6</v>
          </cell>
          <cell r="I694">
            <v>7.8082061200306724E-7</v>
          </cell>
        </row>
        <row r="695">
          <cell r="A695" t="str">
            <v>D-TBDS1</v>
          </cell>
          <cell r="B695" t="str">
            <v>VAR_fout</v>
          </cell>
          <cell r="C695" t="str">
            <v>TDSL</v>
          </cell>
          <cell r="D695">
            <v>2.9709563469350053</v>
          </cell>
          <cell r="E695">
            <v>2.9711619991631779</v>
          </cell>
          <cell r="F695">
            <v>4.4616620512363996</v>
          </cell>
          <cell r="G695">
            <v>2.978432666943359</v>
          </cell>
          <cell r="H695">
            <v>3.4924545215946936</v>
          </cell>
          <cell r="I695">
            <v>8.1659252821354222</v>
          </cell>
        </row>
        <row r="696">
          <cell r="A696" t="str">
            <v>D-TBDS1</v>
          </cell>
          <cell r="B696" t="str">
            <v>VAR_fout</v>
          </cell>
          <cell r="C696" t="str">
            <v>TKER</v>
          </cell>
          <cell r="D696">
            <v>2.7822206827350899E-5</v>
          </cell>
          <cell r="E696">
            <v>2.1018268195836101E-4</v>
          </cell>
          <cell r="F696">
            <v>5.4526850065787103E-3</v>
          </cell>
          <cell r="G696">
            <v>1.80557206683928E-2</v>
          </cell>
          <cell r="H696">
            <v>4.1201217949505403E-2</v>
          </cell>
          <cell r="I696">
            <v>1.69080291224149</v>
          </cell>
        </row>
        <row r="697">
          <cell r="A697" t="str">
            <v>D-TBDS1</v>
          </cell>
          <cell r="B697" t="str">
            <v>VAR_fin</v>
          </cell>
          <cell r="C697" t="str">
            <v>BDS</v>
          </cell>
          <cell r="D697">
            <v>3.0152939409935708</v>
          </cell>
          <cell r="E697">
            <v>3.0156883349875749</v>
          </cell>
          <cell r="F697">
            <v>4.5337430996535231</v>
          </cell>
          <cell r="G697">
            <v>3.0411637259173876</v>
          </cell>
          <cell r="H697">
            <v>3.5863248345857617</v>
          </cell>
          <cell r="I697">
            <v>10.003713301814722</v>
          </cell>
        </row>
        <row r="698">
          <cell r="A698" t="str">
            <v>D-T-ELC-Bus_u_S3</v>
          </cell>
          <cell r="B698" t="str">
            <v>VAR_fout</v>
          </cell>
          <cell r="C698" t="str">
            <v>T-ELC-Bus_u_BatSTGin_S3</v>
          </cell>
          <cell r="D698">
            <v>7.7421760629909544E-3</v>
          </cell>
          <cell r="E698">
            <v>1.4717072892263422E-2</v>
          </cell>
          <cell r="F698">
            <v>1.8985384579470244E-2</v>
          </cell>
          <cell r="G698">
            <v>0.80333859221566106</v>
          </cell>
          <cell r="H698">
            <v>0.8003987689700115</v>
          </cell>
          <cell r="I698">
            <v>0.78659237647381441</v>
          </cell>
        </row>
        <row r="699">
          <cell r="A699" t="str">
            <v>D-T-ELC-Bus_u_S3</v>
          </cell>
          <cell r="B699" t="str">
            <v>VAR_fin</v>
          </cell>
          <cell r="C699" t="str">
            <v>TELC</v>
          </cell>
          <cell r="D699">
            <v>7.7421760629909544E-3</v>
          </cell>
          <cell r="E699">
            <v>1.4717072892263422E-2</v>
          </cell>
          <cell r="F699">
            <v>1.8985384579470244E-2</v>
          </cell>
          <cell r="G699">
            <v>0.80333859221566106</v>
          </cell>
          <cell r="H699">
            <v>0.8003987689700115</v>
          </cell>
          <cell r="I699">
            <v>0.78659237647381441</v>
          </cell>
        </row>
        <row r="700">
          <cell r="A700" t="str">
            <v>D-T-ELC-Bus_u_S3</v>
          </cell>
          <cell r="B700" t="str">
            <v>VAR_ncap</v>
          </cell>
          <cell r="C700" t="str">
            <v>-</v>
          </cell>
          <cell r="D700">
            <v>8.7451826317722504E-4</v>
          </cell>
          <cell r="E700">
            <v>8.0152638382088501E-4</v>
          </cell>
          <cell r="F700">
            <v>5.3158726502057095E-4</v>
          </cell>
          <cell r="G700">
            <v>8.3514409095906905E-2</v>
          </cell>
          <cell r="H700">
            <v>6.08025999791377E-2</v>
          </cell>
          <cell r="I700">
            <v>6.2315903573440801E-2</v>
          </cell>
        </row>
        <row r="701">
          <cell r="A701" t="str">
            <v>D-T-ELC-Bus_u_S3</v>
          </cell>
          <cell r="B701" t="str">
            <v>VAR_cap</v>
          </cell>
          <cell r="C701" t="str">
            <v>-</v>
          </cell>
          <cell r="D701">
            <v>8.7451826317722504E-4</v>
          </cell>
          <cell r="E701">
            <v>1.6760446469981101E-3</v>
          </cell>
          <cell r="F701">
            <v>2.20763191201868E-3</v>
          </cell>
          <cell r="G701">
            <v>8.49142633658235E-2</v>
          </cell>
          <cell r="H701">
            <v>8.4603523765824501E-2</v>
          </cell>
          <cell r="I701">
            <v>8.3142085923592596E-2</v>
          </cell>
        </row>
        <row r="702">
          <cell r="A702" t="str">
            <v>T-Plg-DSL-mix_S3</v>
          </cell>
          <cell r="B702" t="str">
            <v>VAR_fout</v>
          </cell>
          <cell r="C702" t="str">
            <v>CO2_T</v>
          </cell>
          <cell r="D702">
            <v>9.9773011105394709E-3</v>
          </cell>
          <cell r="E702">
            <v>2.4535011046548396</v>
          </cell>
          <cell r="F702">
            <v>103.11863770982612</v>
          </cell>
          <cell r="G702">
            <v>352.98823922207737</v>
          </cell>
          <cell r="H702">
            <v>314.21339258557941</v>
          </cell>
          <cell r="I702">
            <v>29.534058836317701</v>
          </cell>
        </row>
        <row r="703">
          <cell r="A703" t="str">
            <v>T-Plg-DSL-mix_S3</v>
          </cell>
          <cell r="B703" t="str">
            <v>VAR_fout</v>
          </cell>
          <cell r="C703" t="str">
            <v>T-PEVmix-ELC_DSL_S3</v>
          </cell>
          <cell r="D703">
            <v>7.5351480436066423E-5</v>
          </cell>
          <cell r="E703">
            <v>1.8529554078705268E-2</v>
          </cell>
          <cell r="F703">
            <v>0.7787819497376729</v>
          </cell>
          <cell r="G703">
            <v>2.6658698687370563</v>
          </cell>
          <cell r="H703">
            <v>2.5132662728468844</v>
          </cell>
          <cell r="I703">
            <v>0.2493941541869315</v>
          </cell>
        </row>
        <row r="704">
          <cell r="A704" t="str">
            <v>T-Plg-DSL-mix_S3</v>
          </cell>
          <cell r="B704" t="str">
            <v>VAR_fin</v>
          </cell>
          <cell r="C704" t="str">
            <v>TDSL</v>
          </cell>
          <cell r="D704">
            <v>1.3611597695142511E-4</v>
          </cell>
          <cell r="E704">
            <v>3.3472047812480893E-2</v>
          </cell>
          <cell r="F704">
            <v>1.4068026972691132</v>
          </cell>
          <cell r="G704">
            <v>4.8156649279956056</v>
          </cell>
          <cell r="H704">
            <v>4.2866765700624851</v>
          </cell>
          <cell r="I704">
            <v>0.40292031154594393</v>
          </cell>
        </row>
        <row r="705">
          <cell r="A705" t="str">
            <v>D-T-ELC-Bus_u_S4</v>
          </cell>
          <cell r="B705" t="str">
            <v>VAR_fout</v>
          </cell>
          <cell r="C705" t="str">
            <v>T-ELC-Bus_u_BatSTGin_S4</v>
          </cell>
          <cell r="D705">
            <v>2.3339255708201568E-4</v>
          </cell>
          <cell r="E705">
            <v>7.1584731545213363E-4</v>
          </cell>
          <cell r="F705">
            <v>1.1520497175021905E-3</v>
          </cell>
          <cell r="G705">
            <v>2.7251667850249739E-2</v>
          </cell>
          <cell r="H705">
            <v>1.0269369915981669E-3</v>
          </cell>
          <cell r="I705">
            <v>6.7465911198775683E-4</v>
          </cell>
        </row>
        <row r="706">
          <cell r="A706" t="str">
            <v>D-T-ELC-Bus_u_S4</v>
          </cell>
          <cell r="B706" t="str">
            <v>VAR_fin</v>
          </cell>
          <cell r="C706" t="str">
            <v>TELC</v>
          </cell>
          <cell r="D706">
            <v>2.3339255708201568E-4</v>
          </cell>
          <cell r="E706">
            <v>7.1584731545213363E-4</v>
          </cell>
          <cell r="F706">
            <v>1.1520497175021905E-3</v>
          </cell>
          <cell r="G706">
            <v>2.7251667850249739E-2</v>
          </cell>
          <cell r="H706">
            <v>1.0269369915981669E-3</v>
          </cell>
          <cell r="I706">
            <v>6.7465911198775683E-4</v>
          </cell>
        </row>
        <row r="707">
          <cell r="A707" t="str">
            <v>D-T-ELC-Bus_u_S4</v>
          </cell>
          <cell r="B707" t="str">
            <v>VAR_ncap</v>
          </cell>
          <cell r="C707" t="str">
            <v>-</v>
          </cell>
          <cell r="D707">
            <v>2.9543634019447198E-4</v>
          </cell>
          <cell r="E707">
            <v>2.5609488736572301E-4</v>
          </cell>
          <cell r="F707">
            <v>3.3300396198755798E-4</v>
          </cell>
          <cell r="G707">
            <v>2.5610917572520099E-3</v>
          </cell>
          <cell r="H707">
            <v>2.30871240734774E-4</v>
          </cell>
          <cell r="I707">
            <v>8.6727508808519106E-5</v>
          </cell>
        </row>
        <row r="708">
          <cell r="A708" t="str">
            <v>D-T-ELC-Bus_u_S4</v>
          </cell>
          <cell r="B708" t="str">
            <v>VAR_cap</v>
          </cell>
          <cell r="C708" t="str">
            <v>-</v>
          </cell>
          <cell r="D708">
            <v>2.9543634019447198E-4</v>
          </cell>
          <cell r="E708">
            <v>5.5153122756019504E-4</v>
          </cell>
          <cell r="F708">
            <v>8.8453518954775302E-4</v>
          </cell>
          <cell r="G708">
            <v>2.9278849652511901E-3</v>
          </cell>
          <cell r="H708">
            <v>3.8450730388479501E-4</v>
          </cell>
          <cell r="I708">
            <v>1.27242788011368E-4</v>
          </cell>
        </row>
        <row r="709">
          <cell r="A709" t="str">
            <v>T_C-FC-H2O-S1</v>
          </cell>
          <cell r="B709" t="str">
            <v>VAR_fout</v>
          </cell>
          <cell r="C709" t="str">
            <v>TPCAR</v>
          </cell>
          <cell r="E709">
            <v>8.2073032862360699E-5</v>
          </cell>
          <cell r="F709">
            <v>1.0051250172391697E-4</v>
          </cell>
          <cell r="G709">
            <v>3.4327824116995456E-5</v>
          </cell>
          <cell r="H709">
            <v>4.7218540016637365E-5</v>
          </cell>
          <cell r="I709">
            <v>4.0758177953416039E-5</v>
          </cell>
        </row>
        <row r="710">
          <cell r="A710" t="str">
            <v>T_C-FC-H2O-S1</v>
          </cell>
          <cell r="B710" t="str">
            <v>VAR_fin</v>
          </cell>
          <cell r="C710" t="str">
            <v>TH2O</v>
          </cell>
          <cell r="E710">
            <v>7.4845251912213995E-5</v>
          </cell>
          <cell r="F710">
            <v>9.1660844609818865E-5</v>
          </cell>
          <cell r="G710">
            <v>3.130473620907196E-5</v>
          </cell>
          <cell r="H710">
            <v>3.9666834961374024E-5</v>
          </cell>
          <cell r="I710">
            <v>3.1116423792303006E-5</v>
          </cell>
        </row>
        <row r="711">
          <cell r="A711" t="str">
            <v>T_C-FC-H2O-S1</v>
          </cell>
          <cell r="B711" t="str">
            <v>VAR_ncap</v>
          </cell>
          <cell r="C711" t="str">
            <v>-</v>
          </cell>
          <cell r="E711">
            <v>9.7403196760998901E-6</v>
          </cell>
          <cell r="F711">
            <v>4.1638669288873097E-6</v>
          </cell>
          <cell r="G711">
            <v>1.4097834025647001E-6</v>
          </cell>
          <cell r="H711">
            <v>3.36476927303299E-6</v>
          </cell>
          <cell r="I711">
            <v>3.32824436807944E-6</v>
          </cell>
        </row>
        <row r="712">
          <cell r="A712" t="str">
            <v>T_C-FC-H2O-S1</v>
          </cell>
          <cell r="B712" t="str">
            <v>VAR_cap</v>
          </cell>
          <cell r="C712" t="str">
            <v>-</v>
          </cell>
          <cell r="E712">
            <v>9.6106453302626207E-6</v>
          </cell>
          <cell r="F712">
            <v>1.3144499988167464E-5</v>
          </cell>
          <cell r="G712">
            <v>3.5938305865538596E-6</v>
          </cell>
          <cell r="H712">
            <v>5.8408790869875676E-6</v>
          </cell>
          <cell r="I712">
            <v>5.0483225525839768E-6</v>
          </cell>
        </row>
        <row r="713">
          <cell r="A713" t="str">
            <v>T_B_c-ICEDSL-S1</v>
          </cell>
          <cell r="B713" t="str">
            <v>VAR_fout</v>
          </cell>
          <cell r="C713" t="str">
            <v>CO2_T</v>
          </cell>
          <cell r="D713">
            <v>8.2838215928991605</v>
          </cell>
          <cell r="E713">
            <v>21.813760070232732</v>
          </cell>
          <cell r="F713">
            <v>26.27607447127895</v>
          </cell>
          <cell r="H713">
            <v>3.7793685533407E-3</v>
          </cell>
          <cell r="I713">
            <v>2.100120023516281E-3</v>
          </cell>
        </row>
        <row r="714">
          <cell r="A714" t="str">
            <v>T_B_c-ICEDSL-S1</v>
          </cell>
          <cell r="B714" t="str">
            <v>VAR_fout</v>
          </cell>
          <cell r="C714" t="str">
            <v>TPBSc</v>
          </cell>
          <cell r="D714">
            <v>1.4004423948081938E-2</v>
          </cell>
          <cell r="E714">
            <v>3.7684514577807665E-2</v>
          </cell>
          <cell r="F714">
            <v>4.5926241463692744E-2</v>
          </cell>
          <cell r="H714">
            <v>8.392742885514989E-6</v>
          </cell>
          <cell r="I714">
            <v>4.6218222931958838E-6</v>
          </cell>
        </row>
        <row r="715">
          <cell r="A715" t="str">
            <v>T_B_c-ICEDSL-S1</v>
          </cell>
          <cell r="B715" t="str">
            <v>VAR_fin</v>
          </cell>
          <cell r="C715" t="str">
            <v>TDSL</v>
          </cell>
          <cell r="D715">
            <v>0.11301257289084783</v>
          </cell>
          <cell r="E715">
            <v>0.29759563533741773</v>
          </cell>
          <cell r="F715">
            <v>0.3584730487214049</v>
          </cell>
          <cell r="H715">
            <v>5.1560280400282367E-5</v>
          </cell>
          <cell r="I715">
            <v>2.8651023513182599E-5</v>
          </cell>
        </row>
        <row r="716">
          <cell r="A716" t="str">
            <v>T_B_c-ICEDSL-S1</v>
          </cell>
          <cell r="B716" t="str">
            <v>VAR_ncap</v>
          </cell>
          <cell r="C716" t="str">
            <v>-</v>
          </cell>
          <cell r="E716">
            <v>4.6420058164314799E-4</v>
          </cell>
          <cell r="F716">
            <v>1.7943340653354199E-4</v>
          </cell>
          <cell r="H716">
            <v>1.7413675040588801E-7</v>
          </cell>
        </row>
        <row r="717">
          <cell r="A717" t="str">
            <v>T_B_c-ICEDSL-S1</v>
          </cell>
          <cell r="B717" t="str">
            <v>VAR_cap</v>
          </cell>
          <cell r="C717" t="str">
            <v>-</v>
          </cell>
          <cell r="D717">
            <v>3.05805288461538E-4</v>
          </cell>
          <cell r="E717">
            <v>8.2323700971137959E-4</v>
          </cell>
          <cell r="F717">
            <v>1.0027916301569352E-3</v>
          </cell>
          <cell r="G717">
            <v>-3.8550907260946968E-8</v>
          </cell>
          <cell r="H717">
            <v>1.4859851761173401E-7</v>
          </cell>
          <cell r="I717">
            <v>1.1691088393914701E-7</v>
          </cell>
        </row>
        <row r="718">
          <cell r="A718" t="str">
            <v>T-Plg-DSL-mix_S4</v>
          </cell>
          <cell r="B718" t="str">
            <v>VAR_fout</v>
          </cell>
          <cell r="C718" t="str">
            <v>CO2_T</v>
          </cell>
          <cell r="D718">
            <v>0.41721689569545301</v>
          </cell>
          <cell r="E718">
            <v>1.7442994572226369</v>
          </cell>
          <cell r="F718">
            <v>2.81713306679652</v>
          </cell>
          <cell r="G718">
            <v>2.8780953028163179</v>
          </cell>
          <cell r="H718">
            <v>1.4811098175451891</v>
          </cell>
          <cell r="I718">
            <v>0.22999321294474512</v>
          </cell>
        </row>
        <row r="719">
          <cell r="A719" t="str">
            <v>T-Plg-DSL-mix_S4</v>
          </cell>
          <cell r="B719" t="str">
            <v>VAR_fout</v>
          </cell>
          <cell r="C719" t="str">
            <v>T-PEVmix-ELC_DSL_S4</v>
          </cell>
          <cell r="D719">
            <v>2.9996271067528799E-3</v>
          </cell>
          <cell r="E719">
            <v>1.2540834247514822E-2</v>
          </cell>
          <cell r="F719">
            <v>2.0254090372843033E-2</v>
          </cell>
          <cell r="G719">
            <v>2.0692385124421619E-2</v>
          </cell>
          <cell r="H719">
            <v>1.1189643385096634E-2</v>
          </cell>
          <cell r="I719">
            <v>1.8200185625978954E-3</v>
          </cell>
        </row>
        <row r="720">
          <cell r="A720" t="str">
            <v>T-Plg-DSL-mix_S4</v>
          </cell>
          <cell r="B720" t="str">
            <v>VAR_fin</v>
          </cell>
          <cell r="C720" t="str">
            <v>TDSL</v>
          </cell>
          <cell r="D720">
            <v>5.6919085360907628E-3</v>
          </cell>
          <cell r="E720">
            <v>2.3796718379572101E-2</v>
          </cell>
          <cell r="F720">
            <v>3.8432920420143644E-2</v>
          </cell>
          <cell r="G720">
            <v>3.9264601675529545E-2</v>
          </cell>
          <cell r="H720">
            <v>2.020613666500945E-2</v>
          </cell>
          <cell r="I720">
            <v>3.1376973116609111E-3</v>
          </cell>
        </row>
        <row r="721">
          <cell r="A721" t="str">
            <v>T_C-FC-H2O-S2</v>
          </cell>
          <cell r="B721" t="str">
            <v>VAR_fout</v>
          </cell>
          <cell r="C721" t="str">
            <v>TPCAR</v>
          </cell>
          <cell r="D721">
            <v>8.5507069349966775E-5</v>
          </cell>
          <cell r="E721">
            <v>1.3522173476812746E-4</v>
          </cell>
          <cell r="F721">
            <v>1.7384470628831341E-4</v>
          </cell>
          <cell r="G721">
            <v>8.0537955587597622E-5</v>
          </cell>
          <cell r="H721">
            <v>6.4981993069381861E-5</v>
          </cell>
          <cell r="I721">
            <v>6.3817134023051841E-5</v>
          </cell>
        </row>
        <row r="722">
          <cell r="A722" t="str">
            <v>T_C-FC-H2O-S2</v>
          </cell>
          <cell r="B722" t="str">
            <v>VAR_fin</v>
          </cell>
          <cell r="C722" t="str">
            <v>TH2O</v>
          </cell>
          <cell r="D722">
            <v>9.5914223134218679E-5</v>
          </cell>
          <cell r="E722">
            <v>1.516797118617578E-4</v>
          </cell>
          <cell r="F722">
            <v>1.9500352516346032E-4</v>
          </cell>
          <cell r="G722">
            <v>9.0340313400129815E-5</v>
          </cell>
          <cell r="H722">
            <v>6.6999859532264184E-5</v>
          </cell>
          <cell r="I722">
            <v>5.9229198816625332E-5</v>
          </cell>
        </row>
        <row r="723">
          <cell r="A723" t="str">
            <v>T_C-FC-H2O-S2</v>
          </cell>
          <cell r="B723" t="str">
            <v>VAR_ncap</v>
          </cell>
          <cell r="C723" t="str">
            <v>-</v>
          </cell>
          <cell r="E723">
            <v>3.9937626325149001E-6</v>
          </cell>
          <cell r="F723">
            <v>3.43933872763484E-6</v>
          </cell>
          <cell r="G723">
            <v>1.3082982801566301E-6</v>
          </cell>
          <cell r="H723">
            <v>2.9467681031255302E-6</v>
          </cell>
          <cell r="I723">
            <v>3.4981194118433702E-6</v>
          </cell>
        </row>
        <row r="724">
          <cell r="A724" t="str">
            <v>T_C-FC-H2O-S2</v>
          </cell>
          <cell r="B724" t="str">
            <v>VAR_cap</v>
          </cell>
          <cell r="C724" t="str">
            <v>-</v>
          </cell>
          <cell r="D724">
            <v>6.3211050024023843E-6</v>
          </cell>
          <cell r="E724">
            <v>1.0262017623366372E-5</v>
          </cell>
          <cell r="F724">
            <v>1.3430138114596744E-5</v>
          </cell>
          <cell r="G724">
            <v>5.3707383176591086E-6</v>
          </cell>
          <cell r="H724">
            <v>5.2114409766301622E-6</v>
          </cell>
          <cell r="I724">
            <v>4.9458123290925607E-6</v>
          </cell>
        </row>
        <row r="725">
          <cell r="A725" t="str">
            <v>T_B_c-ICEDSL-S2</v>
          </cell>
          <cell r="B725" t="str">
            <v>VAR_fout</v>
          </cell>
          <cell r="C725" t="str">
            <v>CO2_T</v>
          </cell>
          <cell r="D725">
            <v>38.008684553852895</v>
          </cell>
          <cell r="E725">
            <v>28.846202625702848</v>
          </cell>
          <cell r="F725">
            <v>35.51848675776634</v>
          </cell>
          <cell r="H725">
            <v>5.8278422574131704E-3</v>
          </cell>
          <cell r="I725">
            <v>2.792725439832795E-3</v>
          </cell>
        </row>
        <row r="726">
          <cell r="A726" t="str">
            <v>T_B_c-ICEDSL-S2</v>
          </cell>
          <cell r="B726" t="str">
            <v>VAR_fout</v>
          </cell>
          <cell r="C726" t="str">
            <v>TPBSc</v>
          </cell>
          <cell r="D726">
            <v>4.5354185676904142E-2</v>
          </cell>
          <cell r="E726">
            <v>3.4556153870984735E-2</v>
          </cell>
          <cell r="F726">
            <v>4.2538128268016083E-2</v>
          </cell>
          <cell r="H726">
            <v>9.0190455386109286E-6</v>
          </cell>
          <cell r="I726">
            <v>4.3118865361781112E-6</v>
          </cell>
        </row>
        <row r="727">
          <cell r="A727" t="str">
            <v>T_B_c-ICEDSL-S2</v>
          </cell>
          <cell r="B727" t="str">
            <v>VAR_fin</v>
          </cell>
          <cell r="C727" t="str">
            <v>TDSL</v>
          </cell>
          <cell r="D727">
            <v>0.51853594207166231</v>
          </cell>
          <cell r="E727">
            <v>0.39353618861804701</v>
          </cell>
          <cell r="F727">
            <v>0.48456325726829974</v>
          </cell>
          <cell r="H727">
            <v>7.9506715653658575E-5</v>
          </cell>
          <cell r="I727">
            <v>3.8099937787623444E-5</v>
          </cell>
        </row>
        <row r="728">
          <cell r="A728" t="str">
            <v>T_B_c-ICEDSL-S2</v>
          </cell>
          <cell r="B728" t="str">
            <v>VAR_ncap</v>
          </cell>
          <cell r="C728" t="str">
            <v>-</v>
          </cell>
          <cell r="E728">
            <v>2.2619069127701499E-6</v>
          </cell>
          <cell r="F728">
            <v>3.9451765628669597E-6</v>
          </cell>
          <cell r="H728">
            <v>1.72159225138447E-7</v>
          </cell>
        </row>
        <row r="729">
          <cell r="A729" t="str">
            <v>T_B_c-ICEDSL-S2</v>
          </cell>
          <cell r="B729" t="str">
            <v>VAR_cap</v>
          </cell>
          <cell r="C729" t="str">
            <v>-</v>
          </cell>
          <cell r="D729">
            <v>9.8781646421773161E-4</v>
          </cell>
          <cell r="E729">
            <v>9.2106157771132402E-4</v>
          </cell>
          <cell r="F729">
            <v>9.2531794528296902E-4</v>
          </cell>
          <cell r="G729">
            <v>-2.679371640160709E-8</v>
          </cell>
          <cell r="H729">
            <v>1.3077896101606311E-7</v>
          </cell>
          <cell r="I729">
            <v>9.2992276618967406E-8</v>
          </cell>
        </row>
        <row r="730">
          <cell r="A730" t="str">
            <v>T_TW-FCLH2O-S1</v>
          </cell>
          <cell r="B730" t="str">
            <v>VAR_fout</v>
          </cell>
          <cell r="C730" t="str">
            <v>TPTWL</v>
          </cell>
          <cell r="G730">
            <v>8.3214819406410723E-4</v>
          </cell>
          <cell r="H730">
            <v>2.4500819316389233E-3</v>
          </cell>
          <cell r="I730">
            <v>1.8643032232097791E-3</v>
          </cell>
        </row>
        <row r="731">
          <cell r="A731" t="str">
            <v>T_TW-FCLH2O-S1</v>
          </cell>
          <cell r="B731" t="str">
            <v>VAR_fin</v>
          </cell>
          <cell r="C731" t="str">
            <v>TH2O</v>
          </cell>
          <cell r="G731">
            <v>1.7937638216906606E-4</v>
          </cell>
          <cell r="H731">
            <v>5.1670105637653782E-4</v>
          </cell>
          <cell r="I731">
            <v>3.831661833206861E-4</v>
          </cell>
        </row>
        <row r="732">
          <cell r="A732" t="str">
            <v>T_TW-FCLH2O-S1</v>
          </cell>
          <cell r="B732" t="str">
            <v>VAR_ncap</v>
          </cell>
          <cell r="C732" t="str">
            <v>-</v>
          </cell>
          <cell r="G732">
            <v>2.9980863763075E-4</v>
          </cell>
          <cell r="H732">
            <v>4.27959736953552E-4</v>
          </cell>
          <cell r="I732">
            <v>4.3817549046901399E-4</v>
          </cell>
        </row>
        <row r="733">
          <cell r="A733" t="str">
            <v>T_TW-FCLH2O-S1</v>
          </cell>
          <cell r="B733" t="str">
            <v>VAR_cap</v>
          </cell>
          <cell r="C733" t="str">
            <v>-</v>
          </cell>
          <cell r="G733">
            <v>2.9980863763075E-4</v>
          </cell>
          <cell r="H733">
            <v>9.7832727483482046E-4</v>
          </cell>
          <cell r="I733">
            <v>7.3991079141313867E-4</v>
          </cell>
        </row>
        <row r="734">
          <cell r="A734" t="str">
            <v>D-T-ELC-TW_Bat_S1</v>
          </cell>
          <cell r="B734" t="str">
            <v>VAR_fout</v>
          </cell>
          <cell r="C734" t="str">
            <v>T-ELC-TWSTGin_S1</v>
          </cell>
          <cell r="D734">
            <v>2.3434961458385891E-3</v>
          </cell>
          <cell r="E734">
            <v>3.2301210862735398E-3</v>
          </cell>
          <cell r="F734">
            <v>3.5434492497912031E-3</v>
          </cell>
          <cell r="G734">
            <v>1.1400868414944105E-2</v>
          </cell>
          <cell r="H734">
            <v>0.14247073602048588</v>
          </cell>
          <cell r="I734">
            <v>0.16217959484128239</v>
          </cell>
        </row>
        <row r="735">
          <cell r="A735" t="str">
            <v>D-T-ELC-TW_Bat_S1</v>
          </cell>
          <cell r="B735" t="str">
            <v>VAR_fin</v>
          </cell>
          <cell r="C735" t="str">
            <v>TELC</v>
          </cell>
          <cell r="D735">
            <v>2.3434961458385891E-3</v>
          </cell>
          <cell r="E735">
            <v>3.2301210862735398E-3</v>
          </cell>
          <cell r="F735">
            <v>3.5434492497912031E-3</v>
          </cell>
          <cell r="G735">
            <v>1.1400868414944105E-2</v>
          </cell>
          <cell r="H735">
            <v>0.14247073602048588</v>
          </cell>
          <cell r="I735">
            <v>0.16217959484128239</v>
          </cell>
        </row>
        <row r="736">
          <cell r="A736" t="str">
            <v>D-T-ELC-TW_Bat_S1</v>
          </cell>
          <cell r="B736" t="str">
            <v>VAR_ncap</v>
          </cell>
          <cell r="C736" t="str">
            <v>-</v>
          </cell>
          <cell r="D736">
            <v>4.3931642087942098E-4</v>
          </cell>
          <cell r="E736">
            <v>2.7517127141526599E-6</v>
          </cell>
          <cell r="F736">
            <v>1.3073853775994999E-5</v>
          </cell>
          <cell r="G736">
            <v>8.6930886088832E-4</v>
          </cell>
          <cell r="H736">
            <v>6.4585933701420198E-3</v>
          </cell>
          <cell r="I736">
            <v>1.24218843650353E-2</v>
          </cell>
        </row>
        <row r="737">
          <cell r="A737" t="str">
            <v>D-T-ELC-TW_Bat_S1</v>
          </cell>
          <cell r="B737" t="str">
            <v>VAR_cap</v>
          </cell>
          <cell r="C737" t="str">
            <v>-</v>
          </cell>
          <cell r="D737">
            <v>4.3931642087942098E-4</v>
          </cell>
          <cell r="E737">
            <v>4.4206813359357403E-4</v>
          </cell>
          <cell r="F737">
            <v>4.5514198736956902E-4</v>
          </cell>
          <cell r="G737">
            <v>1.20621623800671E-3</v>
          </cell>
          <cell r="H737">
            <v>1.5062339708108999E-2</v>
          </cell>
          <cell r="I737">
            <v>1.7143742190934199E-2</v>
          </cell>
        </row>
        <row r="738">
          <cell r="A738" t="str">
            <v>T_C-FC-H2O-S3</v>
          </cell>
          <cell r="B738" t="str">
            <v>VAR_fout</v>
          </cell>
          <cell r="C738" t="str">
            <v>TPCAR</v>
          </cell>
          <cell r="D738">
            <v>6.9147264479688239E-4</v>
          </cell>
          <cell r="E738">
            <v>1.5522286062849217E-3</v>
          </cell>
          <cell r="F738">
            <v>1.4571022651965354E-3</v>
          </cell>
          <cell r="G738">
            <v>1.449210400237269E-4</v>
          </cell>
          <cell r="H738">
            <v>6.6419077064272771E-5</v>
          </cell>
          <cell r="I738">
            <v>7.1172083240307729E-5</v>
          </cell>
        </row>
        <row r="739">
          <cell r="A739" t="str">
            <v>T_C-FC-H2O-S3</v>
          </cell>
          <cell r="B739" t="str">
            <v>VAR_fin</v>
          </cell>
          <cell r="C739" t="str">
            <v>TH2O</v>
          </cell>
          <cell r="D739">
            <v>8.3309448056753893E-4</v>
          </cell>
          <cell r="E739">
            <v>1.8701435179042717E-3</v>
          </cell>
          <cell r="F739">
            <v>1.7555341688379731E-3</v>
          </cell>
          <cell r="G739">
            <v>1.7460259559123802E-4</v>
          </cell>
          <cell r="H739">
            <v>7.3619338763999099E-5</v>
          </cell>
          <cell r="I739">
            <v>7.0620921564418064E-5</v>
          </cell>
        </row>
        <row r="740">
          <cell r="A740" t="str">
            <v>T_C-FC-H2O-S3</v>
          </cell>
          <cell r="B740" t="str">
            <v>VAR_ncap</v>
          </cell>
          <cell r="C740" t="str">
            <v>-</v>
          </cell>
          <cell r="E740">
            <v>3.2211134991586801E-6</v>
          </cell>
          <cell r="F740">
            <v>2.2140819216284799E-6</v>
          </cell>
          <cell r="G740">
            <v>1.0581965002083399E-6</v>
          </cell>
          <cell r="H740">
            <v>2.52725851579768E-6</v>
          </cell>
          <cell r="I740">
            <v>3.46118783894322E-6</v>
          </cell>
        </row>
        <row r="741">
          <cell r="A741" t="str">
            <v>T_C-FC-H2O-S3</v>
          </cell>
          <cell r="B741" t="str">
            <v>VAR_cap</v>
          </cell>
          <cell r="C741" t="str">
            <v>-</v>
          </cell>
          <cell r="D741">
            <v>5.3627917021166861E-5</v>
          </cell>
          <cell r="E741">
            <v>1.1118888488044261E-4</v>
          </cell>
          <cell r="F741">
            <v>1.0804089601037726E-4</v>
          </cell>
          <cell r="G741">
            <v>8.099758380373601E-6</v>
          </cell>
          <cell r="H741">
            <v>4.2975829861978331E-6</v>
          </cell>
          <cell r="I741">
            <v>4.6155091604739796E-6</v>
          </cell>
        </row>
        <row r="742">
          <cell r="A742" t="str">
            <v>T_B_c-ICEDSL-S3</v>
          </cell>
          <cell r="B742" t="str">
            <v>VAR_fout</v>
          </cell>
          <cell r="C742" t="str">
            <v>CO2_T</v>
          </cell>
          <cell r="D742">
            <v>11.493085030853448</v>
          </cell>
          <cell r="E742">
            <v>9.2616216608578394</v>
          </cell>
          <cell r="F742">
            <v>11.350375884843231</v>
          </cell>
        </row>
        <row r="743">
          <cell r="A743" t="str">
            <v>T_B_c-ICEDSL-S3</v>
          </cell>
          <cell r="B743" t="str">
            <v>VAR_fout</v>
          </cell>
          <cell r="C743" t="str">
            <v>TPBSc</v>
          </cell>
          <cell r="D743">
            <v>9.086205356715206E-3</v>
          </cell>
          <cell r="E743">
            <v>7.350278118482218E-3</v>
          </cell>
          <cell r="F743">
            <v>9.0075732028600791E-3</v>
          </cell>
        </row>
        <row r="744">
          <cell r="A744" t="str">
            <v>T_B_c-ICEDSL-S3</v>
          </cell>
          <cell r="B744" t="str">
            <v>VAR_fin</v>
          </cell>
          <cell r="C744" t="str">
            <v>TDSL</v>
          </cell>
          <cell r="D744">
            <v>0.15679515731041532</v>
          </cell>
          <cell r="E744">
            <v>0.12635227368155288</v>
          </cell>
          <cell r="F744">
            <v>0.15484823853810706</v>
          </cell>
        </row>
        <row r="745">
          <cell r="A745" t="str">
            <v>T_B_c-ICEDSL-S3</v>
          </cell>
          <cell r="B745" t="str">
            <v>VAR_ncap</v>
          </cell>
          <cell r="C745" t="str">
            <v>-</v>
          </cell>
          <cell r="E745">
            <v>9.1076420128021203E-7</v>
          </cell>
          <cell r="F745">
            <v>9.9483387234797494E-7</v>
          </cell>
          <cell r="H745">
            <v>1.7298491739825501E-8</v>
          </cell>
        </row>
        <row r="746">
          <cell r="A746" t="str">
            <v>T_B_c-ICEDSL-S3</v>
          </cell>
          <cell r="B746" t="str">
            <v>VAR_cap</v>
          </cell>
          <cell r="C746" t="str">
            <v>-</v>
          </cell>
          <cell r="D746">
            <v>1.9970978736729621E-4</v>
          </cell>
          <cell r="E746">
            <v>1.9516022154745342E-4</v>
          </cell>
          <cell r="F746">
            <v>1.9628925250979686E-4</v>
          </cell>
          <cell r="G746">
            <v>3.3985649835409056E-9</v>
          </cell>
          <cell r="H746">
            <v>1.7786664053630696E-8</v>
          </cell>
          <cell r="I746">
            <v>5.9251009575217304E-9</v>
          </cell>
        </row>
        <row r="747">
          <cell r="A747" t="str">
            <v>T_TW-FCLH2O-S2</v>
          </cell>
          <cell r="B747" t="str">
            <v>VAR_fout</v>
          </cell>
          <cell r="C747" t="str">
            <v>TPTWL</v>
          </cell>
          <cell r="G747">
            <v>3.5393182377903775E-4</v>
          </cell>
          <cell r="H747">
            <v>1.0097579876810062E-3</v>
          </cell>
          <cell r="I747">
            <v>7.4472210754315685E-4</v>
          </cell>
        </row>
        <row r="748">
          <cell r="A748" t="str">
            <v>T_TW-FCLH2O-S2</v>
          </cell>
          <cell r="B748" t="str">
            <v>VAR_fin</v>
          </cell>
          <cell r="C748" t="str">
            <v>TH2O</v>
          </cell>
          <cell r="G748">
            <v>1.3104281789815775E-4</v>
          </cell>
          <cell r="H748">
            <v>3.673036843520159E-4</v>
          </cell>
          <cell r="I748">
            <v>2.651530729879203E-4</v>
          </cell>
        </row>
        <row r="749">
          <cell r="A749" t="str">
            <v>T_TW-FCLH2O-S2</v>
          </cell>
          <cell r="B749" t="str">
            <v>VAR_ncap</v>
          </cell>
          <cell r="C749" t="str">
            <v>-</v>
          </cell>
          <cell r="G749">
            <v>1.3049555894985201E-4</v>
          </cell>
          <cell r="H749">
            <v>1.47970574253936E-4</v>
          </cell>
          <cell r="I749">
            <v>1.3205750477064801E-4</v>
          </cell>
        </row>
        <row r="750">
          <cell r="A750" t="str">
            <v>T_TW-FCLH2O-S2</v>
          </cell>
          <cell r="B750" t="str">
            <v>VAR_cap</v>
          </cell>
          <cell r="C750" t="str">
            <v>-</v>
          </cell>
          <cell r="G750">
            <v>1.3049555894985201E-4</v>
          </cell>
          <cell r="H750">
            <v>3.9872384544444305E-4</v>
          </cell>
          <cell r="I750">
            <v>2.9131591751073411E-4</v>
          </cell>
        </row>
        <row r="751">
          <cell r="A751" t="str">
            <v>D-T-ELC-TW_Bat_S2</v>
          </cell>
          <cell r="B751" t="str">
            <v>VAR_fout</v>
          </cell>
          <cell r="C751" t="str">
            <v>T-ELC-TWSTGin_S2</v>
          </cell>
          <cell r="D751">
            <v>4.7325034119075429E-4</v>
          </cell>
          <cell r="E751">
            <v>7.1367586824220544E-4</v>
          </cell>
          <cell r="F751">
            <v>8.341714704355515E-4</v>
          </cell>
          <cell r="G751">
            <v>1.1350606387963272E-2</v>
          </cell>
          <cell r="H751">
            <v>1.4298496317838916E-2</v>
          </cell>
          <cell r="I751">
            <v>1.0626372950040255E-2</v>
          </cell>
        </row>
        <row r="752">
          <cell r="A752" t="str">
            <v>D-T-ELC-TW_Bat_S2</v>
          </cell>
          <cell r="B752" t="str">
            <v>VAR_fin</v>
          </cell>
          <cell r="C752" t="str">
            <v>TELC</v>
          </cell>
          <cell r="D752">
            <v>4.7325034119075429E-4</v>
          </cell>
          <cell r="E752">
            <v>7.1367586824220544E-4</v>
          </cell>
          <cell r="F752">
            <v>8.341714704355515E-4</v>
          </cell>
          <cell r="G752">
            <v>1.1350606387963272E-2</v>
          </cell>
          <cell r="H752">
            <v>1.4298496317838916E-2</v>
          </cell>
          <cell r="I752">
            <v>1.0626372950040255E-2</v>
          </cell>
        </row>
        <row r="753">
          <cell r="A753" t="str">
            <v>D-T-ELC-TW_Bat_S2</v>
          </cell>
          <cell r="B753" t="str">
            <v>VAR_ncap</v>
          </cell>
          <cell r="C753" t="str">
            <v>-</v>
          </cell>
          <cell r="D753">
            <v>3.3181421433998998E-4</v>
          </cell>
          <cell r="E753">
            <v>2.17430205077113E-6</v>
          </cell>
          <cell r="F753">
            <v>2.7201319572325599E-5</v>
          </cell>
          <cell r="G753">
            <v>8.4003911211767398E-4</v>
          </cell>
          <cell r="H753">
            <v>8.5550493594595605E-6</v>
          </cell>
          <cell r="I753">
            <v>7.5210505747448197E-4</v>
          </cell>
        </row>
        <row r="754">
          <cell r="A754" t="str">
            <v>D-T-ELC-TW_Bat_S2</v>
          </cell>
          <cell r="B754" t="str">
            <v>VAR_cap</v>
          </cell>
          <cell r="C754" t="str">
            <v>-</v>
          </cell>
          <cell r="D754">
            <v>3.3181421433998998E-4</v>
          </cell>
          <cell r="E754">
            <v>3.3398851639076198E-4</v>
          </cell>
          <cell r="F754">
            <v>3.6118983596308699E-4</v>
          </cell>
          <cell r="G754">
            <v>1.2012289480807601E-3</v>
          </cell>
          <cell r="H754">
            <v>1.5157148178495301E-3</v>
          </cell>
          <cell r="I754">
            <v>1.1247324673199801E-3</v>
          </cell>
        </row>
        <row r="755">
          <cell r="A755" t="str">
            <v>T_C-FC-H2O-S4</v>
          </cell>
          <cell r="B755" t="str">
            <v>VAR_fout</v>
          </cell>
          <cell r="C755" t="str">
            <v>TPCAR</v>
          </cell>
          <cell r="E755">
            <v>5.469284324744937E-5</v>
          </cell>
          <cell r="F755">
            <v>9.1565715526913105E-5</v>
          </cell>
          <cell r="G755">
            <v>5.5561937386697532E-5</v>
          </cell>
          <cell r="H755">
            <v>6.4272058486302821E-5</v>
          </cell>
          <cell r="I755">
            <v>6.8241351816393739E-5</v>
          </cell>
        </row>
        <row r="756">
          <cell r="A756" t="str">
            <v>T_C-FC-H2O-S4</v>
          </cell>
          <cell r="B756" t="str">
            <v>VAR_fin</v>
          </cell>
          <cell r="C756" t="str">
            <v>TH2O</v>
          </cell>
          <cell r="E756">
            <v>6.5363201505879668E-5</v>
          </cell>
          <cell r="F756">
            <v>1.0942982590861742E-4</v>
          </cell>
          <cell r="G756">
            <v>6.6401852487951382E-5</v>
          </cell>
          <cell r="H756">
            <v>7.0874804170123436E-5</v>
          </cell>
          <cell r="I756">
            <v>6.7838558529900874E-5</v>
          </cell>
        </row>
        <row r="757">
          <cell r="A757" t="str">
            <v>T_C-FC-H2O-S4</v>
          </cell>
          <cell r="B757" t="str">
            <v>VAR_ncap</v>
          </cell>
          <cell r="C757" t="str">
            <v>-</v>
          </cell>
          <cell r="E757">
            <v>4.4754064676458103E-6</v>
          </cell>
          <cell r="F757">
            <v>3.2356710957086499E-6</v>
          </cell>
          <cell r="G757">
            <v>1.26517034873135E-6</v>
          </cell>
          <cell r="H757">
            <v>3.0393216196531899E-6</v>
          </cell>
          <cell r="I757">
            <v>4.1285523257103001E-6</v>
          </cell>
        </row>
        <row r="758">
          <cell r="A758" t="str">
            <v>T_C-FC-H2O-S4</v>
          </cell>
          <cell r="B758" t="str">
            <v>VAR_cap</v>
          </cell>
          <cell r="C758" t="str">
            <v>-</v>
          </cell>
          <cell r="E758">
            <v>4.4158247059227504E-6</v>
          </cell>
          <cell r="F758">
            <v>7.3442311604404583E-6</v>
          </cell>
          <cell r="G758">
            <v>4.0285429599654203E-6</v>
          </cell>
          <cell r="H758">
            <v>5.246199972700399E-6</v>
          </cell>
          <cell r="I758">
            <v>5.5248375365852225E-6</v>
          </cell>
        </row>
        <row r="759">
          <cell r="A759" t="str">
            <v>T_B_c-ICEDSL-S4</v>
          </cell>
          <cell r="B759" t="str">
            <v>VAR_fout</v>
          </cell>
          <cell r="C759" t="str">
            <v>CO2_T</v>
          </cell>
          <cell r="D759">
            <v>1.307938961050362</v>
          </cell>
          <cell r="E759">
            <v>8.6450708913786006E-2</v>
          </cell>
          <cell r="F759">
            <v>0.1116388105243856</v>
          </cell>
        </row>
        <row r="760">
          <cell r="A760" t="str">
            <v>T_B_c-ICEDSL-S4</v>
          </cell>
          <cell r="B760" t="str">
            <v>VAR_fout</v>
          </cell>
          <cell r="C760" t="str">
            <v>TPBSc</v>
          </cell>
          <cell r="D760">
            <v>6.8959397973812067E-4</v>
          </cell>
          <cell r="E760">
            <v>4.5963274160980722E-5</v>
          </cell>
          <cell r="F760">
            <v>5.9821591212698727E-5</v>
          </cell>
        </row>
        <row r="761">
          <cell r="A761" t="str">
            <v>T_B_c-ICEDSL-S4</v>
          </cell>
          <cell r="B761" t="str">
            <v>VAR_fin</v>
          </cell>
          <cell r="C761" t="str">
            <v>TDSL</v>
          </cell>
          <cell r="D761">
            <v>1.7843642033429263E-2</v>
          </cell>
          <cell r="E761">
            <v>1.179409398550968E-3</v>
          </cell>
          <cell r="F761">
            <v>1.5230397070175395E-3</v>
          </cell>
        </row>
        <row r="762">
          <cell r="A762" t="str">
            <v>T_B_c-ICEDSL-S4</v>
          </cell>
          <cell r="B762" t="str">
            <v>VAR_ncap</v>
          </cell>
          <cell r="C762" t="str">
            <v>-</v>
          </cell>
          <cell r="E762">
            <v>1.5608887474303999E-7</v>
          </cell>
          <cell r="F762">
            <v>1.4984512299812501E-7</v>
          </cell>
        </row>
        <row r="763">
          <cell r="A763" t="str">
            <v>T_B_c-ICEDSL-S4</v>
          </cell>
          <cell r="B763" t="str">
            <v>VAR_cap</v>
          </cell>
          <cell r="C763" t="str">
            <v>-</v>
          </cell>
          <cell r="D763">
            <v>1.6074138485457204E-5</v>
          </cell>
          <cell r="E763">
            <v>1.1968161353347422E-6</v>
          </cell>
          <cell r="F763">
            <v>1.410407421459771E-6</v>
          </cell>
          <cell r="G763">
            <v>-1.4155461629273814E-8</v>
          </cell>
          <cell r="H763">
            <v>-1.29504635510403E-8</v>
          </cell>
        </row>
        <row r="764">
          <cell r="A764" t="str">
            <v>D-T-ELC-HGV</v>
          </cell>
          <cell r="B764" t="str">
            <v>VAR_fout</v>
          </cell>
          <cell r="C764" t="str">
            <v>T-ELC-HGV_BatSTGin</v>
          </cell>
          <cell r="D764">
            <v>9.547916453345134E-3</v>
          </cell>
          <cell r="E764">
            <v>2.5190942878783214E-2</v>
          </cell>
          <cell r="F764">
            <v>2.8754184615883482E-2</v>
          </cell>
          <cell r="G764">
            <v>4.8324864037010116</v>
          </cell>
          <cell r="H764">
            <v>6.6377095751862738</v>
          </cell>
          <cell r="I764">
            <v>8.1166120830534947</v>
          </cell>
        </row>
        <row r="765">
          <cell r="A765" t="str">
            <v>D-T-ELC-HGV</v>
          </cell>
          <cell r="B765" t="str">
            <v>VAR_fin</v>
          </cell>
          <cell r="C765" t="str">
            <v>TELC</v>
          </cell>
          <cell r="D765">
            <v>9.547916453345134E-3</v>
          </cell>
          <cell r="E765">
            <v>2.5190942878783214E-2</v>
          </cell>
          <cell r="F765">
            <v>2.8754184615883482E-2</v>
          </cell>
          <cell r="G765">
            <v>4.8324864037010116</v>
          </cell>
          <cell r="H765">
            <v>6.6377095751862738</v>
          </cell>
          <cell r="I765">
            <v>8.1166120830534947</v>
          </cell>
        </row>
        <row r="766">
          <cell r="A766" t="str">
            <v>D-T-ELC-HGV</v>
          </cell>
          <cell r="B766" t="str">
            <v>VAR_ncap</v>
          </cell>
          <cell r="C766" t="str">
            <v>-</v>
          </cell>
          <cell r="D766">
            <v>1.52706781549548E-3</v>
          </cell>
          <cell r="E766">
            <v>1.90505890284791E-3</v>
          </cell>
          <cell r="F766">
            <v>6.6415820682340604E-4</v>
          </cell>
          <cell r="G766">
            <v>0.60687196250595499</v>
          </cell>
          <cell r="H766">
            <v>0.45881355962391401</v>
          </cell>
          <cell r="I766">
            <v>0.93587473571949797</v>
          </cell>
        </row>
        <row r="767">
          <cell r="A767" t="str">
            <v>D-T-ELC-HGV</v>
          </cell>
          <cell r="B767" t="str">
            <v>VAR_cap</v>
          </cell>
          <cell r="C767" t="str">
            <v>-</v>
          </cell>
          <cell r="D767">
            <v>1.52706781549548E-3</v>
          </cell>
          <cell r="E767">
            <v>3.4321267183433902E-3</v>
          </cell>
          <cell r="F767">
            <v>4.0962849251667899E-3</v>
          </cell>
          <cell r="G767">
            <v>0.60817086573265</v>
          </cell>
          <cell r="H767">
            <v>0.82765829452180395</v>
          </cell>
          <cell r="I767">
            <v>1.01639130162461</v>
          </cell>
        </row>
        <row r="768">
          <cell r="A768" t="str">
            <v>T_TW-FCLH2O-S3</v>
          </cell>
          <cell r="B768" t="str">
            <v>VAR_fout</v>
          </cell>
          <cell r="C768" t="str">
            <v>TPTWL</v>
          </cell>
          <cell r="G768">
            <v>1.8774812617007174E-4</v>
          </cell>
          <cell r="H768">
            <v>5.356880299785306E-4</v>
          </cell>
          <cell r="I768">
            <v>5.3658240704753421E-4</v>
          </cell>
        </row>
        <row r="769">
          <cell r="A769" t="str">
            <v>T_TW-FCLH2O-S3</v>
          </cell>
          <cell r="B769" t="str">
            <v>VAR_fin</v>
          </cell>
          <cell r="C769" t="str">
            <v>TH2O</v>
          </cell>
          <cell r="G769">
            <v>1.0663577790762902E-4</v>
          </cell>
          <cell r="H769">
            <v>2.9963555840914409E-4</v>
          </cell>
          <cell r="I769">
            <v>2.9456421831722235E-4</v>
          </cell>
        </row>
        <row r="770">
          <cell r="A770" t="str">
            <v>T_TW-FCLH2O-S3</v>
          </cell>
          <cell r="B770" t="str">
            <v>VAR_ncap</v>
          </cell>
          <cell r="C770" t="str">
            <v>-</v>
          </cell>
          <cell r="G770">
            <v>6.9439434689272503E-5</v>
          </cell>
          <cell r="H770">
            <v>6.2557271288544205E-5</v>
          </cell>
          <cell r="I770">
            <v>6.5422810232468505E-5</v>
          </cell>
        </row>
        <row r="771">
          <cell r="A771" t="str">
            <v>T_TW-FCLH2O-S3</v>
          </cell>
          <cell r="B771" t="str">
            <v>VAR_cap</v>
          </cell>
          <cell r="C771" t="str">
            <v>-</v>
          </cell>
          <cell r="G771">
            <v>6.9439434689272503E-5</v>
          </cell>
          <cell r="H771">
            <v>2.0749782587404898E-4</v>
          </cell>
          <cell r="I771">
            <v>2.0625014125628442E-4</v>
          </cell>
        </row>
        <row r="772">
          <cell r="A772" t="str">
            <v>D-T-ELC-TW_Bat_S3</v>
          </cell>
          <cell r="B772" t="str">
            <v>VAR_fout</v>
          </cell>
          <cell r="C772" t="str">
            <v>T-ELC-TWSTGin_S3</v>
          </cell>
          <cell r="D772">
            <v>2.1196570429403251E-4</v>
          </cell>
          <cell r="E772">
            <v>3.9581095762821579E-4</v>
          </cell>
          <cell r="F772">
            <v>4.9429383784293384E-4</v>
          </cell>
          <cell r="G772">
            <v>1.2958005423913172E-2</v>
          </cell>
          <cell r="H772">
            <v>2.5164845313006348E-2</v>
          </cell>
          <cell r="I772">
            <v>1.5536731205673449E-2</v>
          </cell>
        </row>
        <row r="773">
          <cell r="A773" t="str">
            <v>D-T-ELC-TW_Bat_S3</v>
          </cell>
          <cell r="B773" t="str">
            <v>VAR_fin</v>
          </cell>
          <cell r="C773" t="str">
            <v>TELC</v>
          </cell>
          <cell r="D773">
            <v>2.1196570429403251E-4</v>
          </cell>
          <cell r="E773">
            <v>3.9581095762821579E-4</v>
          </cell>
          <cell r="F773">
            <v>4.9429383784293384E-4</v>
          </cell>
          <cell r="G773">
            <v>1.2958005423913172E-2</v>
          </cell>
          <cell r="H773">
            <v>2.5164845313006348E-2</v>
          </cell>
          <cell r="I773">
            <v>1.5536731205673449E-2</v>
          </cell>
        </row>
        <row r="774">
          <cell r="A774" t="str">
            <v>D-T-ELC-TW_Bat_S3</v>
          </cell>
          <cell r="B774" t="str">
            <v>VAR_ncap</v>
          </cell>
          <cell r="C774" t="str">
            <v>-</v>
          </cell>
          <cell r="D774">
            <v>4.0177971972375401E-4</v>
          </cell>
          <cell r="E774">
            <v>2.5985447534673299E-6</v>
          </cell>
          <cell r="F774">
            <v>8.3823264526496506E-6</v>
          </cell>
          <cell r="G774">
            <v>9.5866129123985903E-4</v>
          </cell>
          <cell r="H774">
            <v>1.8724414377861799E-5</v>
          </cell>
          <cell r="I774">
            <v>1.52248322963499E-4</v>
          </cell>
        </row>
        <row r="775">
          <cell r="A775" t="str">
            <v>D-T-ELC-TW_Bat_S3</v>
          </cell>
          <cell r="B775" t="str">
            <v>VAR_cap</v>
          </cell>
          <cell r="C775" t="str">
            <v>-</v>
          </cell>
          <cell r="D775">
            <v>4.0177971972375401E-4</v>
          </cell>
          <cell r="E775">
            <v>4.0437826447722099E-4</v>
          </cell>
          <cell r="F775">
            <v>4.1276059092987098E-4</v>
          </cell>
          <cell r="G775">
            <v>1.3714218821697299E-3</v>
          </cell>
          <cell r="H775">
            <v>2.6637181564762298E-3</v>
          </cell>
          <cell r="I775">
            <v>1.6442449318566799E-3</v>
          </cell>
        </row>
        <row r="776">
          <cell r="A776" t="str">
            <v>T_TW-FCLH2O-S4</v>
          </cell>
          <cell r="B776" t="str">
            <v>VAR_fout</v>
          </cell>
          <cell r="C776" t="str">
            <v>TPTWL</v>
          </cell>
          <cell r="G776">
            <v>9.0261819582553973E-5</v>
          </cell>
          <cell r="H776">
            <v>2.8484079663138463E-4</v>
          </cell>
          <cell r="I776">
            <v>3.5832999165757567E-4</v>
          </cell>
        </row>
        <row r="777">
          <cell r="A777" t="str">
            <v>T_TW-FCLH2O-S4</v>
          </cell>
          <cell r="B777" t="str">
            <v>VAR_fin</v>
          </cell>
          <cell r="C777" t="str">
            <v>TH2O</v>
          </cell>
          <cell r="G777">
            <v>5.778453271298504E-5</v>
          </cell>
          <cell r="H777">
            <v>1.7901974500049539E-4</v>
          </cell>
          <cell r="I777">
            <v>2.2178600357855948E-4</v>
          </cell>
        </row>
        <row r="778">
          <cell r="A778" t="str">
            <v>T_TW-FCLH2O-S4</v>
          </cell>
          <cell r="B778" t="str">
            <v>VAR_ncap</v>
          </cell>
          <cell r="C778" t="str">
            <v>-</v>
          </cell>
          <cell r="G778">
            <v>3.3035817184605098E-5</v>
          </cell>
          <cell r="H778">
            <v>3.5691332206057802E-5</v>
          </cell>
          <cell r="I778">
            <v>3.52005063255613E-5</v>
          </cell>
        </row>
        <row r="779">
          <cell r="A779" t="str">
            <v>T_TW-FCLH2O-S4</v>
          </cell>
          <cell r="B779" t="str">
            <v>VAR_cap</v>
          </cell>
          <cell r="C779" t="str">
            <v>-</v>
          </cell>
          <cell r="G779">
            <v>3.3035817184605098E-5</v>
          </cell>
          <cell r="H779">
            <v>1.0763958875202955E-4</v>
          </cell>
          <cell r="I779">
            <v>1.3127352535468006E-4</v>
          </cell>
        </row>
        <row r="780">
          <cell r="A780" t="str">
            <v>D-T-ELC-TW_Bat_S4</v>
          </cell>
          <cell r="B780" t="str">
            <v>VAR_fout</v>
          </cell>
          <cell r="C780" t="str">
            <v>T-ELC-TWSTGin_S4</v>
          </cell>
          <cell r="D780">
            <v>2.4583196951003634E-4</v>
          </cell>
          <cell r="E780">
            <v>4.3833124743559147E-4</v>
          </cell>
          <cell r="F780">
            <v>5.5660547201863073E-4</v>
          </cell>
          <cell r="G780">
            <v>1.3307824052034616E-2</v>
          </cell>
          <cell r="H780">
            <v>2.8427425129928467E-2</v>
          </cell>
          <cell r="I780">
            <v>2.4328046203534223E-2</v>
          </cell>
        </row>
        <row r="781">
          <cell r="A781" t="str">
            <v>D-T-ELC-TW_Bat_S4</v>
          </cell>
          <cell r="B781" t="str">
            <v>VAR_fin</v>
          </cell>
          <cell r="C781" t="str">
            <v>TELC</v>
          </cell>
          <cell r="D781">
            <v>2.4583196951003634E-4</v>
          </cell>
          <cell r="E781">
            <v>4.3833124743559147E-4</v>
          </cell>
          <cell r="F781">
            <v>5.5660547201863073E-4</v>
          </cell>
          <cell r="G781">
            <v>1.3307824052034616E-2</v>
          </cell>
          <cell r="H781">
            <v>2.8427425129928467E-2</v>
          </cell>
          <cell r="I781">
            <v>2.4328046203534223E-2</v>
          </cell>
        </row>
        <row r="782">
          <cell r="A782" t="str">
            <v>D-T-ELC-TW_Bat_S4</v>
          </cell>
          <cell r="B782" t="str">
            <v>VAR_ncap</v>
          </cell>
          <cell r="C782" t="str">
            <v>-</v>
          </cell>
          <cell r="D782">
            <v>4.30608453152895E-4</v>
          </cell>
          <cell r="E782">
            <v>2.7442908113683398E-6</v>
          </cell>
          <cell r="F782">
            <v>6.7531059419671804E-6</v>
          </cell>
          <cell r="G782">
            <v>9.6829527895451897E-4</v>
          </cell>
          <cell r="H782">
            <v>1.9918515465932601E-5</v>
          </cell>
          <cell r="I782">
            <v>2.9721745250438602E-4</v>
          </cell>
        </row>
        <row r="783">
          <cell r="A783" t="str">
            <v>D-T-ELC-TW_Bat_S4</v>
          </cell>
          <cell r="B783" t="str">
            <v>VAR_cap</v>
          </cell>
          <cell r="C783" t="str">
            <v>-</v>
          </cell>
          <cell r="D783">
            <v>4.30608453152895E-4</v>
          </cell>
          <cell r="E783">
            <v>4.3335274396426299E-4</v>
          </cell>
          <cell r="F783">
            <v>4.4010584990623002E-4</v>
          </cell>
          <cell r="G783">
            <v>1.4084011288607501E-3</v>
          </cell>
          <cell r="H783">
            <v>3.0109928556813301E-3</v>
          </cell>
          <cell r="I783">
            <v>2.57352804899147E-3</v>
          </cell>
        </row>
        <row r="784">
          <cell r="A784" t="str">
            <v>T_B_u-ICENGA-S1</v>
          </cell>
          <cell r="B784" t="str">
            <v>VAR_fout</v>
          </cell>
          <cell r="C784" t="str">
            <v>CO2_T</v>
          </cell>
          <cell r="E784">
            <v>0.15625080991523799</v>
          </cell>
          <cell r="F784">
            <v>0.2712207462851714</v>
          </cell>
          <cell r="G784">
            <v>3.6823611697652399E-3</v>
          </cell>
          <cell r="H784">
            <v>1.5125268750292901E-3</v>
          </cell>
          <cell r="I784">
            <v>6.1197913676277994E-4</v>
          </cell>
        </row>
        <row r="785">
          <cell r="A785" t="str">
            <v>T_B_u-ICENGA-S1</v>
          </cell>
          <cell r="B785" t="str">
            <v>VAR_fout</v>
          </cell>
          <cell r="C785" t="str">
            <v>TPBSu</v>
          </cell>
          <cell r="E785">
            <v>3.3310655749819535E-4</v>
          </cell>
          <cell r="F785">
            <v>5.8757597141275808E-4</v>
          </cell>
          <cell r="G785">
            <v>8.3153139609458331E-6</v>
          </cell>
          <cell r="H785">
            <v>4.100714712914026E-6</v>
          </cell>
          <cell r="I785">
            <v>1.6546233915603754E-6</v>
          </cell>
        </row>
        <row r="786">
          <cell r="A786" t="str">
            <v>T_B_u-ICENGA-S1</v>
          </cell>
          <cell r="B786" t="str">
            <v>VAR_fin</v>
          </cell>
          <cell r="C786" t="str">
            <v>TNGA</v>
          </cell>
          <cell r="E786">
            <v>2.7704044311212435E-3</v>
          </cell>
          <cell r="F786">
            <v>4.8088784802335317E-3</v>
          </cell>
          <cell r="G786">
            <v>6.5290091662504091E-5</v>
          </cell>
          <cell r="H786">
            <v>2.6817852394136402E-5</v>
          </cell>
          <cell r="I786">
            <v>1.0850693914233685E-5</v>
          </cell>
        </row>
        <row r="787">
          <cell r="A787" t="str">
            <v>T_B_u-ICENGA-S1</v>
          </cell>
          <cell r="B787" t="str">
            <v>VAR_ncap</v>
          </cell>
          <cell r="C787" t="str">
            <v>-</v>
          </cell>
          <cell r="E787">
            <v>7.9136607671240207E-6</v>
          </cell>
          <cell r="F787">
            <v>3.6109279260602502E-6</v>
          </cell>
          <cell r="G787">
            <v>6.2045614314388297E-8</v>
          </cell>
          <cell r="H787">
            <v>8.9011121345526594E-8</v>
          </cell>
        </row>
        <row r="788">
          <cell r="A788" t="str">
            <v>T_B_u-ICENGA-S1</v>
          </cell>
          <cell r="B788" t="str">
            <v>VAR_cap</v>
          </cell>
          <cell r="C788" t="str">
            <v>-</v>
          </cell>
          <cell r="E788">
            <v>7.9136607671240207E-6</v>
          </cell>
          <cell r="F788">
            <v>1.15245886931843E-5</v>
          </cell>
          <cell r="G788">
            <v>1.9429162779880056E-7</v>
          </cell>
          <cell r="H788">
            <v>9.5307341717630798E-8</v>
          </cell>
          <cell r="I788">
            <v>5.8413887930370199E-8</v>
          </cell>
        </row>
        <row r="789">
          <cell r="A789" t="str">
            <v>T_B_u-ICENGA-S2</v>
          </cell>
          <cell r="B789" t="str">
            <v>VAR_fout</v>
          </cell>
          <cell r="C789" t="str">
            <v>CO2_T</v>
          </cell>
          <cell r="E789">
            <v>6.5016650363671394E-2</v>
          </cell>
          <cell r="F789">
            <v>0.27269351213605802</v>
          </cell>
          <cell r="G789">
            <v>2.8700399293751342E-3</v>
          </cell>
          <cell r="H789">
            <v>1.39862275241324E-3</v>
          </cell>
          <cell r="I789">
            <v>4.5723461784879702E-4</v>
          </cell>
        </row>
        <row r="790">
          <cell r="A790" t="str">
            <v>T_B_u-ICENGA-S2</v>
          </cell>
          <cell r="B790" t="str">
            <v>VAR_fout</v>
          </cell>
          <cell r="C790" t="str">
            <v>TPBSu</v>
          </cell>
          <cell r="E790">
            <v>9.7983868866404931E-5</v>
          </cell>
          <cell r="F790">
            <v>4.2618596176227267E-4</v>
          </cell>
          <cell r="G790">
            <v>4.6087739609042418E-6</v>
          </cell>
          <cell r="H790">
            <v>2.6510795090595041E-6</v>
          </cell>
          <cell r="I790">
            <v>8.6668497571634765E-7</v>
          </cell>
        </row>
        <row r="791">
          <cell r="A791" t="str">
            <v>T_B_u-ICENGA-S2</v>
          </cell>
          <cell r="B791" t="str">
            <v>VAR_fin</v>
          </cell>
          <cell r="C791" t="str">
            <v>TNGA</v>
          </cell>
          <cell r="E791">
            <v>1.1527774887175777E-3</v>
          </cell>
          <cell r="F791">
            <v>4.8349913499301008E-3</v>
          </cell>
          <cell r="G791">
            <v>5.088723279033924E-5</v>
          </cell>
          <cell r="H791">
            <v>2.4798275752007778E-5</v>
          </cell>
          <cell r="I791">
            <v>8.1069967703687401E-6</v>
          </cell>
        </row>
        <row r="792">
          <cell r="A792" t="str">
            <v>T_B_u-ICENGA-S2</v>
          </cell>
          <cell r="B792" t="str">
            <v>VAR_ncap</v>
          </cell>
          <cell r="C792" t="str">
            <v>-</v>
          </cell>
          <cell r="E792">
            <v>2.2598996297804201E-6</v>
          </cell>
          <cell r="F792">
            <v>5.8382696500949798E-6</v>
          </cell>
          <cell r="G792">
            <v>3.05109886078058E-8</v>
          </cell>
          <cell r="H792">
            <v>4.4123481022611699E-8</v>
          </cell>
        </row>
        <row r="793">
          <cell r="A793" t="str">
            <v>T_B_u-ICENGA-S2</v>
          </cell>
          <cell r="B793" t="str">
            <v>VAR_cap</v>
          </cell>
          <cell r="C793" t="str">
            <v>-</v>
          </cell>
          <cell r="E793">
            <v>2.2598996297804201E-6</v>
          </cell>
          <cell r="F793">
            <v>8.0981692798753999E-6</v>
          </cell>
          <cell r="G793">
            <v>8.9398538852569932E-8</v>
          </cell>
          <cell r="H793">
            <v>1.7923396013200203E-8</v>
          </cell>
          <cell r="I793">
            <v>2.84925452673578E-8</v>
          </cell>
        </row>
        <row r="794">
          <cell r="A794" t="str">
            <v>T_B_c-ICEDSLEXT</v>
          </cell>
          <cell r="B794" t="str">
            <v>VAR_fout</v>
          </cell>
          <cell r="C794" t="str">
            <v>CO2_T</v>
          </cell>
          <cell r="D794">
            <v>0.44175215378496702</v>
          </cell>
          <cell r="E794">
            <v>0.44085130730382599</v>
          </cell>
          <cell r="F794">
            <v>0.43761718095959901</v>
          </cell>
        </row>
        <row r="795">
          <cell r="A795" t="str">
            <v>T_B_c-ICEDSLEXT</v>
          </cell>
          <cell r="B795" t="str">
            <v>VAR_fout</v>
          </cell>
          <cell r="C795" t="str">
            <v>TPBSc</v>
          </cell>
          <cell r="D795">
            <v>5.9966496438389097E-2</v>
          </cell>
          <cell r="E795">
            <v>4.7992809360284265E-2</v>
          </cell>
          <cell r="F795">
            <v>2.9994044187335693E-2</v>
          </cell>
        </row>
        <row r="796">
          <cell r="A796" t="str">
            <v>T_B_c-ICEDSLEXT</v>
          </cell>
          <cell r="B796" t="str">
            <v>VAR_fin</v>
          </cell>
          <cell r="C796" t="str">
            <v>TDSL</v>
          </cell>
          <cell r="D796">
            <v>6.0266323845152353E-3</v>
          </cell>
          <cell r="E796">
            <v>6.0143425280194526E-3</v>
          </cell>
          <cell r="F796">
            <v>5.9702207497898873E-3</v>
          </cell>
        </row>
        <row r="797">
          <cell r="A797" t="str">
            <v>T_B_c-ICEDSLEXT</v>
          </cell>
          <cell r="B797" t="str">
            <v>VAR_cap</v>
          </cell>
          <cell r="C797" t="str">
            <v>-</v>
          </cell>
          <cell r="D797">
            <v>1.30332047521267E-3</v>
          </cell>
          <cell r="E797">
            <v>1.04265638017014E-3</v>
          </cell>
          <cell r="F797">
            <v>6.5164960284610737E-4</v>
          </cell>
        </row>
        <row r="798">
          <cell r="A798" t="str">
            <v>T_B_u-ICENGA-S3</v>
          </cell>
          <cell r="B798" t="str">
            <v>VAR_fout</v>
          </cell>
          <cell r="C798" t="str">
            <v>CO2_T</v>
          </cell>
          <cell r="E798">
            <v>9.7838005259081803E-2</v>
          </cell>
          <cell r="F798">
            <v>1.054956875829751</v>
          </cell>
          <cell r="G798">
            <v>7.34071047077721E-3</v>
          </cell>
          <cell r="H798">
            <v>2.2883481434674401E-3</v>
          </cell>
          <cell r="I798">
            <v>2.7556348919278301E-3</v>
          </cell>
        </row>
        <row r="799">
          <cell r="A799" t="str">
            <v>T_B_u-ICENGA-S3</v>
          </cell>
          <cell r="B799" t="str">
            <v>VAR_fout</v>
          </cell>
          <cell r="C799" t="str">
            <v>TPBSu</v>
          </cell>
          <cell r="E799">
            <v>9.7876400537395998E-5</v>
          </cell>
          <cell r="F799">
            <v>1.1046417757725731E-3</v>
          </cell>
          <cell r="G799">
            <v>7.810697466126359E-6</v>
          </cell>
          <cell r="H799">
            <v>2.8790204560696062E-6</v>
          </cell>
          <cell r="I799">
            <v>3.4669240543521688E-6</v>
          </cell>
        </row>
        <row r="800">
          <cell r="A800" t="str">
            <v>T_B_u-ICENGA-S3</v>
          </cell>
          <cell r="B800" t="str">
            <v>VAR_fin</v>
          </cell>
          <cell r="C800" t="str">
            <v>TNGA</v>
          </cell>
          <cell r="E800">
            <v>1.7347164053028688E-3</v>
          </cell>
          <cell r="F800">
            <v>1.8704909145917579E-2</v>
          </cell>
          <cell r="G800">
            <v>1.301544409712272E-4</v>
          </cell>
          <cell r="H800">
            <v>4.0573548643039704E-5</v>
          </cell>
          <cell r="I800">
            <v>4.8858774679571548E-5</v>
          </cell>
        </row>
        <row r="801">
          <cell r="A801" t="str">
            <v>T_B_u-ICENGA-S3</v>
          </cell>
          <cell r="B801" t="str">
            <v>VAR_ncap</v>
          </cell>
          <cell r="C801" t="str">
            <v>-</v>
          </cell>
          <cell r="E801">
            <v>1.9944945796444401E-6</v>
          </cell>
          <cell r="F801">
            <v>1.8766021401607001E-5</v>
          </cell>
          <cell r="H801">
            <v>4.9033877335875402E-8</v>
          </cell>
        </row>
        <row r="802">
          <cell r="A802" t="str">
            <v>T_B_u-ICENGA-S3</v>
          </cell>
          <cell r="B802" t="str">
            <v>VAR_cap</v>
          </cell>
          <cell r="C802" t="str">
            <v>-</v>
          </cell>
          <cell r="E802">
            <v>1.9944945796444401E-6</v>
          </cell>
          <cell r="F802">
            <v>2.0760515981251399E-5</v>
          </cell>
          <cell r="G802">
            <v>6.189346336200229E-9</v>
          </cell>
          <cell r="H802">
            <v>-8.3481623223351009E-9</v>
          </cell>
          <cell r="I802">
            <v>1.67951447977932E-8</v>
          </cell>
        </row>
        <row r="803">
          <cell r="A803" t="str">
            <v>T_B_u-ICENGA-S4</v>
          </cell>
          <cell r="B803" t="str">
            <v>VAR_fout</v>
          </cell>
          <cell r="C803" t="str">
            <v>CO2_T</v>
          </cell>
          <cell r="E803">
            <v>5.2786584344224202E-3</v>
          </cell>
          <cell r="F803">
            <v>1.243352051583276E-2</v>
          </cell>
          <cell r="G803">
            <v>2.1717291196390581E-3</v>
          </cell>
          <cell r="H803">
            <v>1.7793597741742819E-3</v>
          </cell>
          <cell r="I803">
            <v>2.0601869126593902E-3</v>
          </cell>
        </row>
        <row r="804">
          <cell r="A804" t="str">
            <v>T_B_u-ICENGA-S4</v>
          </cell>
          <cell r="B804" t="str">
            <v>VAR_fout</v>
          </cell>
          <cell r="C804" t="str">
            <v>TPBSu</v>
          </cell>
          <cell r="E804">
            <v>3.5274501860855758E-6</v>
          </cell>
          <cell r="F804">
            <v>8.5346056454021378E-6</v>
          </cell>
          <cell r="G804">
            <v>1.48034259483553E-6</v>
          </cell>
          <cell r="H804">
            <v>1.4611784375015857E-6</v>
          </cell>
          <cell r="I804">
            <v>1.7350562645593559E-6</v>
          </cell>
        </row>
        <row r="805">
          <cell r="A805" t="str">
            <v>T_B_u-ICENGA-S4</v>
          </cell>
          <cell r="B805" t="str">
            <v>VAR_fin</v>
          </cell>
          <cell r="C805" t="str">
            <v>TNGA</v>
          </cell>
          <cell r="E805">
            <v>9.3593234652879724E-5</v>
          </cell>
          <cell r="F805">
            <v>2.2045249141547461E-4</v>
          </cell>
          <cell r="G805">
            <v>3.8505835454593275E-5</v>
          </cell>
          <cell r="H805">
            <v>3.154893216621068E-5</v>
          </cell>
          <cell r="I805">
            <v>3.6528136749279916E-5</v>
          </cell>
        </row>
        <row r="806">
          <cell r="A806" t="str">
            <v>T_B_u-ICENGA-S4</v>
          </cell>
          <cell r="B806" t="str">
            <v>VAR_ncap</v>
          </cell>
          <cell r="C806" t="str">
            <v>-</v>
          </cell>
          <cell r="E806">
            <v>4.7015406744720398E-8</v>
          </cell>
          <cell r="F806">
            <v>6.0871372776864806E-8</v>
          </cell>
          <cell r="G806">
            <v>1.3996624925814499E-8</v>
          </cell>
          <cell r="H806">
            <v>2.6809999929191099E-8</v>
          </cell>
        </row>
        <row r="807">
          <cell r="A807" t="str">
            <v>T_B_u-ICENGA-S4</v>
          </cell>
          <cell r="B807" t="str">
            <v>VAR_cap</v>
          </cell>
          <cell r="C807" t="str">
            <v>-</v>
          </cell>
          <cell r="E807">
            <v>4.7015406744720398E-8</v>
          </cell>
          <cell r="F807">
            <v>1.0788677952158501E-7</v>
          </cell>
          <cell r="G807">
            <v>2.8389955350588697E-8</v>
          </cell>
          <cell r="H807">
            <v>-2.0435747583362904E-8</v>
          </cell>
          <cell r="I807">
            <v>4.7048503274055401E-9</v>
          </cell>
        </row>
      </sheetData>
      <sheetData sheetId="29"/>
      <sheetData sheetId="30">
        <row r="9">
          <cell r="B9">
            <v>18.873373739669322</v>
          </cell>
          <cell r="C9">
            <v>21.779738614941394</v>
          </cell>
          <cell r="D9">
            <v>31.814435262441293</v>
          </cell>
          <cell r="E9">
            <v>54.225898206207333</v>
          </cell>
          <cell r="F9">
            <v>81.3895187286587</v>
          </cell>
          <cell r="G9">
            <v>89.130303789820601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8.7642834333739802E-2</v>
          </cell>
          <cell r="G28">
            <v>0.55448157409529852</v>
          </cell>
        </row>
      </sheetData>
      <sheetData sheetId="31"/>
      <sheetData sheetId="32"/>
      <sheetData sheetId="33">
        <row r="14">
          <cell r="B14">
            <v>82.760014544488058</v>
          </cell>
          <cell r="C14">
            <v>82.759940140451945</v>
          </cell>
          <cell r="D14">
            <v>67.103760347604137</v>
          </cell>
          <cell r="E14">
            <v>69.908736144888309</v>
          </cell>
          <cell r="F14">
            <v>32.820805034629792</v>
          </cell>
          <cell r="G14">
            <v>0</v>
          </cell>
        </row>
        <row r="15">
          <cell r="B15">
            <v>66.745680801082017</v>
          </cell>
          <cell r="C15">
            <v>49.798798162012751</v>
          </cell>
          <cell r="D15">
            <v>68.519822333982376</v>
          </cell>
          <cell r="E15">
            <v>68.564272621523827</v>
          </cell>
          <cell r="F15">
            <v>71.347195485573749</v>
          </cell>
          <cell r="G15">
            <v>74.836062463111176</v>
          </cell>
        </row>
        <row r="16">
          <cell r="B16">
            <v>66.632410606460908</v>
          </cell>
          <cell r="C16">
            <v>55.764006821931353</v>
          </cell>
          <cell r="D16">
            <v>65.566170920840051</v>
          </cell>
          <cell r="E16">
            <v>66.917163236066756</v>
          </cell>
          <cell r="F16">
            <v>66.967455268473685</v>
          </cell>
          <cell r="G16">
            <v>67.13500508681291</v>
          </cell>
        </row>
        <row r="17">
          <cell r="B17">
            <v>12.84192899429215</v>
          </cell>
          <cell r="C17">
            <v>16.038543641282661</v>
          </cell>
          <cell r="D17">
            <v>8.4145754343660535</v>
          </cell>
          <cell r="E17">
            <v>39.430248548937477</v>
          </cell>
          <cell r="F17">
            <v>13.399312840806555</v>
          </cell>
          <cell r="G17">
            <v>13.808305148162074</v>
          </cell>
        </row>
        <row r="18">
          <cell r="B18">
            <v>3.9609973401415081E-2</v>
          </cell>
          <cell r="C18">
            <v>1.0021164995322855E-3</v>
          </cell>
          <cell r="D18">
            <v>1.4686372246993267E-2</v>
          </cell>
          <cell r="E18">
            <v>9.2258791817763526E-4</v>
          </cell>
          <cell r="F18">
            <v>3.8497712293900324E-2</v>
          </cell>
          <cell r="G18">
            <v>9.2769095874506094E-5</v>
          </cell>
        </row>
        <row r="19">
          <cell r="B19">
            <v>6.5070030035977169</v>
          </cell>
          <cell r="C19">
            <v>7.3517593800200194</v>
          </cell>
          <cell r="D19">
            <v>7.6162441209968783</v>
          </cell>
          <cell r="E19">
            <v>7.8213139721997038</v>
          </cell>
          <cell r="F19">
            <v>6.7072501917546479</v>
          </cell>
          <cell r="G19">
            <v>5.1263848792490796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1.596319608983104</v>
          </cell>
          <cell r="G20">
            <v>4.8957947499313033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6.2454487437472718E-5</v>
          </cell>
          <cell r="G21">
            <v>1.9383487661392002E-3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2.7262929701074065E-5</v>
          </cell>
          <cell r="G22">
            <v>1.4748344558421164E-3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0.96588931287124591</v>
          </cell>
          <cell r="C24">
            <v>5.4438235756096073E-3</v>
          </cell>
          <cell r="D24">
            <v>1.2990750156893157E-2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0.22029224603021824</v>
          </cell>
          <cell r="C25">
            <v>1.6512109934897715E-2</v>
          </cell>
          <cell r="D25">
            <v>2.9536713887845E-3</v>
          </cell>
          <cell r="E25">
            <v>4.5646316843590811E-3</v>
          </cell>
          <cell r="F25">
            <v>0.80563196476031174</v>
          </cell>
          <cell r="G25">
            <v>0.95703108434745554</v>
          </cell>
        </row>
        <row r="26">
          <cell r="B26">
            <v>1.5475519469556596</v>
          </cell>
          <cell r="C26">
            <v>1.4228396673035264</v>
          </cell>
          <cell r="D26">
            <v>1.4489583186486708</v>
          </cell>
          <cell r="E26">
            <v>1.5023989527715023</v>
          </cell>
          <cell r="F26">
            <v>1.2901112382747042</v>
          </cell>
          <cell r="G26">
            <v>0.75039819797189578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0.26702446241973993</v>
          </cell>
          <cell r="G27">
            <v>0.78409145432848737</v>
          </cell>
        </row>
        <row r="28">
          <cell r="B28">
            <v>1.8093895518981832E-3</v>
          </cell>
          <cell r="C28">
            <v>1.1125629078877592E-3</v>
          </cell>
          <cell r="D28">
            <v>3.5423627894429219E-3</v>
          </cell>
          <cell r="E28">
            <v>5.1625971358800133E-4</v>
          </cell>
          <cell r="F28">
            <v>9.1833956059547066E-4</v>
          </cell>
          <cell r="G28">
            <v>1.7949693192505902E-5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9.4366132523989905E-3</v>
          </cell>
          <cell r="G30">
            <v>9.5736306971418161E-3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1.0080409620202872E-3</v>
          </cell>
          <cell r="G31">
            <v>0.49759336504051654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1.3047293882992129E-2</v>
          </cell>
          <cell r="G32">
            <v>8.3127211491230174E-2</v>
          </cell>
        </row>
        <row r="33">
          <cell r="B33">
            <v>0.52400000000000047</v>
          </cell>
          <cell r="C33">
            <v>0.54529688685681488</v>
          </cell>
          <cell r="D33">
            <v>0.50316948519036375</v>
          </cell>
          <cell r="E33">
            <v>2.0502677777781577</v>
          </cell>
          <cell r="F33">
            <v>7.1993615699640126</v>
          </cell>
          <cell r="G33">
            <v>26.771431294598283</v>
          </cell>
        </row>
        <row r="34">
          <cell r="B34">
            <v>0</v>
          </cell>
          <cell r="C34">
            <v>0</v>
          </cell>
          <cell r="D34">
            <v>0.14079688501016394</v>
          </cell>
          <cell r="E34">
            <v>0.2741400422498631</v>
          </cell>
          <cell r="F34">
            <v>17.743539911415631</v>
          </cell>
          <cell r="G34">
            <v>41.699991763650537</v>
          </cell>
        </row>
        <row r="35">
          <cell r="B35">
            <v>3.517953999707534</v>
          </cell>
          <cell r="C35">
            <v>4.8498377393898808</v>
          </cell>
          <cell r="D35">
            <v>11.161619403278777</v>
          </cell>
          <cell r="E35">
            <v>19.470817746844464</v>
          </cell>
          <cell r="F35">
            <v>40.834409442792669</v>
          </cell>
          <cell r="G35">
            <v>55.443187600975179</v>
          </cell>
        </row>
        <row r="36">
          <cell r="B36">
            <v>2.1349390887346629</v>
          </cell>
          <cell r="C36">
            <v>3.3908432821003025</v>
          </cell>
          <cell r="D36">
            <v>4.0453269370859894</v>
          </cell>
          <cell r="E36">
            <v>12.242456166922107</v>
          </cell>
          <cell r="F36">
            <v>9.447694557259176</v>
          </cell>
          <cell r="G36">
            <v>2.0640399478835603</v>
          </cell>
        </row>
        <row r="37">
          <cell r="B37">
            <v>0.86248322578584768</v>
          </cell>
          <cell r="C37">
            <v>1.2878114211442655</v>
          </cell>
          <cell r="D37">
            <v>3.4857136526655821</v>
          </cell>
          <cell r="E37">
            <v>10.507419323507076</v>
          </cell>
          <cell r="F37">
            <v>11.607084203372828</v>
          </cell>
          <cell r="G37">
            <v>12.821466694723858</v>
          </cell>
        </row>
        <row r="38">
          <cell r="B38">
            <v>2.8396236857719668</v>
          </cell>
          <cell r="C38">
            <v>3.2944566838166156</v>
          </cell>
          <cell r="D38">
            <v>9.9665619214692089</v>
          </cell>
          <cell r="E38">
            <v>17.902353899236019</v>
          </cell>
          <cell r="F38">
            <v>40.474894579762406</v>
          </cell>
          <cell r="G38">
            <v>44.709478143511866</v>
          </cell>
        </row>
        <row r="39">
          <cell r="B39">
            <v>0.67002398736930913</v>
          </cell>
          <cell r="C39">
            <v>8.0525760769829091E-2</v>
          </cell>
          <cell r="D39">
            <v>5.2666917697216598E-2</v>
          </cell>
          <cell r="E39">
            <v>2.4764086765531348E-2</v>
          </cell>
          <cell r="F39">
            <v>0.65882464014851272</v>
          </cell>
          <cell r="G39">
            <v>0.42370776001149957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2.4760135136249984E-3</v>
          </cell>
          <cell r="G40">
            <v>0.24504562695663257</v>
          </cell>
        </row>
        <row r="41">
          <cell r="B41">
            <v>7.0524385632599176E-2</v>
          </cell>
          <cell r="C41">
            <v>0.16942220486314835</v>
          </cell>
          <cell r="D41">
            <v>9.9261267822713228E-3</v>
          </cell>
          <cell r="E41">
            <v>0.17012643818206627</v>
          </cell>
          <cell r="F41">
            <v>0</v>
          </cell>
          <cell r="G41">
            <v>0</v>
          </cell>
        </row>
        <row r="42">
          <cell r="B42">
            <v>0.17249544330238578</v>
          </cell>
          <cell r="C42">
            <v>0.5121325385892016</v>
          </cell>
          <cell r="D42">
            <v>1.1223309492435565</v>
          </cell>
          <cell r="E42">
            <v>1.7440554554147625</v>
          </cell>
          <cell r="F42">
            <v>0.86148997948136785</v>
          </cell>
          <cell r="G42">
            <v>0.34698821623735876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1.8899893745438678</v>
          </cell>
          <cell r="G43">
            <v>4.1294798769342966</v>
          </cell>
        </row>
        <row r="44">
          <cell r="B44">
            <v>0.23006411615488517</v>
          </cell>
          <cell r="C44">
            <v>0.24099578136420541</v>
          </cell>
          <cell r="D44">
            <v>0.33671081850772255</v>
          </cell>
          <cell r="E44">
            <v>0.35673153457826035</v>
          </cell>
          <cell r="F44">
            <v>0.30252566007333681</v>
          </cell>
          <cell r="G44">
            <v>1.0462859809304794E-4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4.5312830677935928E-2</v>
          </cell>
          <cell r="G45">
            <v>0.65313779819319318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0.2541486035545687</v>
          </cell>
          <cell r="G46">
            <v>0.20111958942757635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8.71588200568762E-3</v>
          </cell>
          <cell r="G47">
            <v>1.2892626326436306E-3</v>
          </cell>
        </row>
        <row r="48">
          <cell r="B48">
            <v>1.9675362830614433E-2</v>
          </cell>
          <cell r="C48">
            <v>5.1064387509685517E-3</v>
          </cell>
          <cell r="D48">
            <v>1.2892139936768021E-2</v>
          </cell>
          <cell r="E48">
            <v>4.4382648650243923E-3</v>
          </cell>
          <cell r="F48">
            <v>3.7463717637469954E-3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2.6482288547189274E-3</v>
          </cell>
          <cell r="F50">
            <v>7.3740210609432276E-3</v>
          </cell>
          <cell r="G50">
            <v>3.2162910809483652E-3</v>
          </cell>
        </row>
        <row r="51">
          <cell r="B51">
            <v>2.9814103418875665E-2</v>
          </cell>
          <cell r="C51">
            <v>7.5284300641630776E-3</v>
          </cell>
          <cell r="D51">
            <v>2.4216397767852726E-2</v>
          </cell>
          <cell r="E51">
            <v>7.6103352097430044E-3</v>
          </cell>
          <cell r="F51">
            <v>1.2254558460779486E-2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5.3074905692886212E-3</v>
          </cell>
          <cell r="F53">
            <v>0.11896605213983055</v>
          </cell>
          <cell r="G53">
            <v>1.2430167755366373E-2</v>
          </cell>
        </row>
        <row r="54">
          <cell r="B54">
            <v>0.95939536569076544</v>
          </cell>
          <cell r="C54">
            <v>1.1060703167322454</v>
          </cell>
          <cell r="D54">
            <v>1.1060629396198327</v>
          </cell>
          <cell r="E54">
            <v>1.1060657494448614</v>
          </cell>
          <cell r="F54">
            <v>1.106084943625381</v>
          </cell>
          <cell r="G54">
            <v>1.1060832127743803</v>
          </cell>
        </row>
        <row r="55">
          <cell r="B55">
            <v>0.59443534543004661</v>
          </cell>
          <cell r="C55">
            <v>0.62612792861911226</v>
          </cell>
          <cell r="D55">
            <v>1.0572935086227702E-2</v>
          </cell>
          <cell r="E55">
            <v>2.0194399227131178E-3</v>
          </cell>
          <cell r="F55">
            <v>1.7965336714741678E-3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1.0964030320830176E-3</v>
          </cell>
          <cell r="F56">
            <v>1.9962304221375592E-3</v>
          </cell>
          <cell r="G56">
            <v>1.6067632790507575E-3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1.3305548505381959E-2</v>
          </cell>
          <cell r="F57">
            <v>2.7709417487953237E-2</v>
          </cell>
          <cell r="G57">
            <v>4.6377258384622993E-3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70">
          <cell r="B70">
            <v>9.4756414824528262E-2</v>
          </cell>
          <cell r="C70">
            <v>1.394258850241374E-2</v>
          </cell>
          <cell r="D70">
            <v>9.4479564162516752E-2</v>
          </cell>
          <cell r="E70">
            <v>9.4502053482509882E-2</v>
          </cell>
          <cell r="F70">
            <v>3.9507100699995745E-2</v>
          </cell>
          <cell r="G70">
            <v>2.2110939755479751E-2</v>
          </cell>
        </row>
        <row r="71">
          <cell r="B71">
            <v>1.1910676455954998E-2</v>
          </cell>
          <cell r="C71">
            <v>9.5561032743182867E-3</v>
          </cell>
          <cell r="D71">
            <v>1.1805313005730157E-2</v>
          </cell>
          <cell r="E71">
            <v>1.4644885469731266E-2</v>
          </cell>
          <cell r="F71">
            <v>0.76081477696441813</v>
          </cell>
          <cell r="G71">
            <v>2.0443668509016937</v>
          </cell>
        </row>
        <row r="72">
          <cell r="B72">
            <v>1.085002497670866E-2</v>
          </cell>
          <cell r="C72">
            <v>8.6706876960889467E-3</v>
          </cell>
          <cell r="D72">
            <v>1.0769365756979366E-2</v>
          </cell>
          <cell r="E72">
            <v>1.2981682776919693E-2</v>
          </cell>
          <cell r="F72">
            <v>4.9274787745857751E-2</v>
          </cell>
          <cell r="G72">
            <v>0.670042879705671</v>
          </cell>
        </row>
        <row r="73">
          <cell r="B73">
            <v>3.5250296478945347E-3</v>
          </cell>
          <cell r="C73">
            <v>3.5050133131747561E-3</v>
          </cell>
          <cell r="D73">
            <v>3.5171463520507081E-3</v>
          </cell>
          <cell r="E73">
            <v>0.11965953375178971</v>
          </cell>
          <cell r="F73">
            <v>0.24607688091850316</v>
          </cell>
          <cell r="G73">
            <v>0.48264932112600467</v>
          </cell>
        </row>
        <row r="74">
          <cell r="B74">
            <v>7.0348774659658901E-3</v>
          </cell>
          <cell r="C74">
            <v>6.9951665223490968E-3</v>
          </cell>
          <cell r="D74">
            <v>7.0236339705959791E-3</v>
          </cell>
          <cell r="E74">
            <v>0.12669446859424921</v>
          </cell>
          <cell r="F74">
            <v>8.0877772756358893E-2</v>
          </cell>
          <cell r="G74">
            <v>6.393711732609858E-2</v>
          </cell>
        </row>
        <row r="75">
          <cell r="B75">
            <v>7.038517535714532E-3</v>
          </cell>
          <cell r="C75">
            <v>6.9986966819744062E-3</v>
          </cell>
          <cell r="D75">
            <v>7.0257047475615775E-3</v>
          </cell>
          <cell r="E75">
            <v>0.13056761501147288</v>
          </cell>
          <cell r="F75">
            <v>8.5312151018614668E-2</v>
          </cell>
          <cell r="G75">
            <v>6.4101664945966447E-2</v>
          </cell>
        </row>
        <row r="76">
          <cell r="B76">
            <v>3.5416769315092496E-3</v>
          </cell>
          <cell r="C76">
            <v>3.521681703677585E-3</v>
          </cell>
          <cell r="D76">
            <v>3.5334948277790856E-3</v>
          </cell>
          <cell r="E76">
            <v>7.973065585792663E-2</v>
          </cell>
          <cell r="F76">
            <v>5.5580056172108518E-2</v>
          </cell>
          <cell r="G76">
            <v>4.3180261215012734E-2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5.6174384672336467E-4</v>
          </cell>
          <cell r="G90">
            <v>2.5513953069997256E-4</v>
          </cell>
        </row>
        <row r="91">
          <cell r="B91">
            <v>1.8035672097961197</v>
          </cell>
          <cell r="C91">
            <v>1.0460606222007625E-2</v>
          </cell>
          <cell r="D91">
            <v>2.6020424204535861E-2</v>
          </cell>
          <cell r="E91">
            <v>0</v>
          </cell>
          <cell r="F91">
            <v>0</v>
          </cell>
          <cell r="G91">
            <v>0</v>
          </cell>
        </row>
        <row r="92">
          <cell r="B92">
            <v>0.6299374017035867</v>
          </cell>
          <cell r="C92">
            <v>0.51260775618517251</v>
          </cell>
          <cell r="D92">
            <v>0.47687027407345711</v>
          </cell>
          <cell r="E92">
            <v>0.38417091739847298</v>
          </cell>
          <cell r="F92">
            <v>3.0405742715657582</v>
          </cell>
          <cell r="G92">
            <v>4.7367901955843559</v>
          </cell>
        </row>
        <row r="93">
          <cell r="B93">
            <v>14.461293934727083</v>
          </cell>
          <cell r="C93">
            <v>13.139207441512719</v>
          </cell>
          <cell r="D93">
            <v>13.418573940005864</v>
          </cell>
          <cell r="E93">
            <v>13.510643508245217</v>
          </cell>
          <cell r="F93">
            <v>13.032280065846161</v>
          </cell>
          <cell r="G93">
            <v>11.851087520382212</v>
          </cell>
        </row>
        <row r="94">
          <cell r="B94">
            <v>9.3054319811906663E-3</v>
          </cell>
          <cell r="C94">
            <v>5.7217520977084725E-3</v>
          </cell>
          <cell r="D94">
            <v>1.8217865774277888E-2</v>
          </cell>
          <cell r="E94">
            <v>2.6550499555954349E-3</v>
          </cell>
          <cell r="F94">
            <v>4.7228891687767045E-3</v>
          </cell>
          <cell r="G94">
            <v>9.2312707847173203E-5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1.1458744663627313E-2</v>
          </cell>
          <cell r="G96">
            <v>1.2081010165440836E-2</v>
          </cell>
        </row>
        <row r="97">
          <cell r="B97">
            <v>1.7329349686545676</v>
          </cell>
          <cell r="C97">
            <v>2.429171913023584</v>
          </cell>
          <cell r="D97">
            <v>0.53915505233381111</v>
          </cell>
          <cell r="E97">
            <v>0</v>
          </cell>
          <cell r="F97">
            <v>0</v>
          </cell>
          <cell r="G97">
            <v>0</v>
          </cell>
        </row>
        <row r="98">
          <cell r="B98">
            <v>0.90182986643795204</v>
          </cell>
          <cell r="C98">
            <v>0.90178583470920082</v>
          </cell>
          <cell r="D98">
            <v>0.90178846009740787</v>
          </cell>
          <cell r="E98">
            <v>0.90178815380818678</v>
          </cell>
          <cell r="F98">
            <v>1.6334796053089655</v>
          </cell>
          <cell r="G98">
            <v>2.1840705743000979</v>
          </cell>
        </row>
        <row r="99">
          <cell r="B99">
            <v>1.4500750022345674</v>
          </cell>
          <cell r="C99">
            <v>3.8015512173085249</v>
          </cell>
          <cell r="D99">
            <v>3.7980214619961394</v>
          </cell>
          <cell r="E99">
            <v>1.0687035992549894</v>
          </cell>
          <cell r="F99">
            <v>0</v>
          </cell>
          <cell r="G99">
            <v>0</v>
          </cell>
        </row>
        <row r="100">
          <cell r="B100">
            <v>0.18411968437606124</v>
          </cell>
          <cell r="C100">
            <v>0.18479633797709649</v>
          </cell>
          <cell r="D100">
            <v>4.2616585829279149E-3</v>
          </cell>
          <cell r="E100">
            <v>6.473148390706197E-4</v>
          </cell>
          <cell r="F100">
            <v>2.7801913942633062E-4</v>
          </cell>
          <cell r="G100">
            <v>1.2769491224645839E-5</v>
          </cell>
        </row>
        <row r="101">
          <cell r="B101">
            <v>1.8851919628290423</v>
          </cell>
          <cell r="C101">
            <v>1.7013798559936546</v>
          </cell>
          <cell r="D101">
            <v>1.4587357178157696</v>
          </cell>
          <cell r="E101">
            <v>1.8842957266719109</v>
          </cell>
          <cell r="F101">
            <v>1.1282161876652337</v>
          </cell>
          <cell r="G101">
            <v>0.67555009302145841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2.3251501604268897E-4</v>
          </cell>
          <cell r="F102">
            <v>2.2991150239899636E-4</v>
          </cell>
          <cell r="G102">
            <v>2.3206238128404974E-4</v>
          </cell>
        </row>
        <row r="103">
          <cell r="F103">
            <v>0.74899447485076198</v>
          </cell>
          <cell r="G103">
            <v>0.73914848033320102</v>
          </cell>
        </row>
        <row r="104">
          <cell r="B104">
            <v>0.92963962879335293</v>
          </cell>
          <cell r="C104">
            <v>2.0475195887951205</v>
          </cell>
          <cell r="D104">
            <v>0.10363415971910069</v>
          </cell>
          <cell r="E104">
            <v>1.3098492239126671</v>
          </cell>
          <cell r="F104">
            <v>0</v>
          </cell>
          <cell r="G104">
            <v>0</v>
          </cell>
        </row>
        <row r="105">
          <cell r="B105">
            <v>0.65969644961829754</v>
          </cell>
          <cell r="C105">
            <v>1.7835627850281515</v>
          </cell>
          <cell r="D105">
            <v>3.3332179163618205</v>
          </cell>
          <cell r="E105">
            <v>3.6893480787620043</v>
          </cell>
          <cell r="F105">
            <v>5.8204370950533972</v>
          </cell>
          <cell r="G105">
            <v>9.4694517355554382</v>
          </cell>
        </row>
        <row r="106">
          <cell r="B106">
            <v>1.9349823650994484</v>
          </cell>
          <cell r="C106">
            <v>1.9462973256983322</v>
          </cell>
          <cell r="D106">
            <v>2.5503239676239566</v>
          </cell>
          <cell r="E106">
            <v>2.4035966394998383</v>
          </cell>
          <cell r="F106">
            <v>1.7618154979865484</v>
          </cell>
          <cell r="G106">
            <v>2.2159598546920929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3.918148791547644E-3</v>
          </cell>
          <cell r="G107">
            <v>5.2022878159304405E-4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0.15248916213274136</v>
          </cell>
          <cell r="G108">
            <v>0.1005597947137882</v>
          </cell>
        </row>
        <row r="109">
          <cell r="B109">
            <v>6.9480711136806705E-2</v>
          </cell>
          <cell r="C109">
            <v>1.4081063896273595E-2</v>
          </cell>
          <cell r="D109">
            <v>4.7397276074401147E-2</v>
          </cell>
          <cell r="E109">
            <v>1.2602334939685635E-2</v>
          </cell>
          <cell r="F109">
            <v>1.3406547414009203E-2</v>
          </cell>
          <cell r="G109">
            <v>1.4030749945461844E-3</v>
          </cell>
        </row>
        <row r="110">
          <cell r="B110">
            <v>2.2135513023671554E-3</v>
          </cell>
          <cell r="C110">
            <v>1.6386911163475655E-3</v>
          </cell>
          <cell r="D110">
            <v>9.1969425497101021E-4</v>
          </cell>
          <cell r="E110">
            <v>9.7512368455532593E-3</v>
          </cell>
          <cell r="F110">
            <v>2.4871805683281463E-2</v>
          </cell>
          <cell r="G110">
            <v>2.1693024094652687E-2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9.6200773495641365E-2</v>
          </cell>
          <cell r="C112">
            <v>1.842606121466471E-2</v>
          </cell>
          <cell r="D112">
            <v>7.2567112626656674E-2</v>
          </cell>
          <cell r="E112">
            <v>1.8252393087384522E-2</v>
          </cell>
          <cell r="F112">
            <v>2.9775887894600481E-2</v>
          </cell>
          <cell r="G112">
            <v>1.5254375272566961E-3</v>
          </cell>
        </row>
        <row r="113">
          <cell r="B113">
            <v>2.2880513237065045E-3</v>
          </cell>
          <cell r="C113">
            <v>1.6386228131123086E-3</v>
          </cell>
          <cell r="D113">
            <v>9.195812730038689E-4</v>
          </cell>
          <cell r="E113">
            <v>1.6882005205468106E-2</v>
          </cell>
          <cell r="F113">
            <v>0.34457059424332442</v>
          </cell>
          <cell r="G113">
            <v>5.3174800882474504E-2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1.4243540298057575</v>
          </cell>
          <cell r="C115">
            <v>1.5785045175867487</v>
          </cell>
          <cell r="D115">
            <v>1.4830819010325693</v>
          </cell>
          <cell r="E115">
            <v>1.3240646587309111</v>
          </cell>
          <cell r="F115">
            <v>1.0060404408759995</v>
          </cell>
          <cell r="G115">
            <v>1.0060388665790938</v>
          </cell>
        </row>
        <row r="116">
          <cell r="B116">
            <v>0.69261991870897899</v>
          </cell>
          <cell r="C116">
            <v>0.75051171953190676</v>
          </cell>
          <cell r="D116">
            <v>1.3204357407590123E-2</v>
          </cell>
          <cell r="E116">
            <v>2.6910782154470109E-3</v>
          </cell>
          <cell r="F116">
            <v>2.6948005072112524E-3</v>
          </cell>
          <cell r="G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1.7522366974657077E-3</v>
          </cell>
          <cell r="F117">
            <v>3.0527989463652637E-3</v>
          </cell>
          <cell r="G117">
            <v>2.3596862195419052E-3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1.0014175980366418E-2</v>
          </cell>
          <cell r="F119">
            <v>1.7446670270192789E-2</v>
          </cell>
          <cell r="G119">
            <v>2.6213233000004304E-3</v>
          </cell>
        </row>
        <row r="123">
          <cell r="B123">
            <v>0</v>
          </cell>
          <cell r="C123">
            <v>2.855087572532812</v>
          </cell>
          <cell r="D123">
            <v>2.9416057348654072</v>
          </cell>
          <cell r="E123">
            <v>10.946461772409695</v>
          </cell>
          <cell r="F123">
            <v>12.091722023648289</v>
          </cell>
          <cell r="G123">
            <v>13.356778055881321</v>
          </cell>
        </row>
      </sheetData>
      <sheetData sheetId="34">
        <row r="13">
          <cell r="B13">
            <v>16.052417502662617</v>
          </cell>
          <cell r="C13">
            <v>20.048190659075637</v>
          </cell>
          <cell r="D13">
            <v>10.518225685980527</v>
          </cell>
          <cell r="E13">
            <v>49.287806045374339</v>
          </cell>
          <cell r="F13">
            <v>16.749133425540361</v>
          </cell>
          <cell r="G13">
            <v>17.260375760261219</v>
          </cell>
        </row>
        <row r="14">
          <cell r="B14">
            <v>250.94828863526817</v>
          </cell>
          <cell r="C14">
            <v>253.29954054305807</v>
          </cell>
          <cell r="D14">
            <v>206.09702330408192</v>
          </cell>
          <cell r="E14">
            <v>211.82392013098504</v>
          </cell>
          <cell r="F14">
            <v>98.945514584658667</v>
          </cell>
          <cell r="G14">
            <v>0</v>
          </cell>
        </row>
        <row r="15">
          <cell r="B15">
            <v>66.745680801082017</v>
          </cell>
          <cell r="C15">
            <v>49.798798162012751</v>
          </cell>
          <cell r="D15">
            <v>68.519822333982376</v>
          </cell>
          <cell r="E15">
            <v>68.564272621523827</v>
          </cell>
          <cell r="F15">
            <v>71.347195485573749</v>
          </cell>
          <cell r="G15">
            <v>74.836062463111176</v>
          </cell>
        </row>
        <row r="16">
          <cell r="B16">
            <v>66.632410606460908</v>
          </cell>
          <cell r="C16">
            <v>55.764006821931353</v>
          </cell>
          <cell r="D16">
            <v>65.566170920840051</v>
          </cell>
          <cell r="E16">
            <v>66.917163236066756</v>
          </cell>
          <cell r="F16">
            <v>66.967455268473685</v>
          </cell>
          <cell r="G16">
            <v>67.13500508681291</v>
          </cell>
        </row>
        <row r="18">
          <cell r="B18">
            <v>0.13970392093727879</v>
          </cell>
          <cell r="C18">
            <v>6.7534002736082772E-3</v>
          </cell>
          <cell r="D18">
            <v>4.9712129229147847E-2</v>
          </cell>
          <cell r="E18">
            <v>3.2552053980787286E-3</v>
          </cell>
          <cell r="F18">
            <v>0.11995509064031648</v>
          </cell>
          <cell r="G18">
            <v>3.1237774447649962E-4</v>
          </cell>
        </row>
        <row r="19">
          <cell r="B19">
            <v>18.203598881345474</v>
          </cell>
          <cell r="C19">
            <v>20.566838335875939</v>
          </cell>
          <cell r="D19">
            <v>21.306744884607745</v>
          </cell>
          <cell r="E19">
            <v>21.880435923614382</v>
          </cell>
          <cell r="F19">
            <v>18.763798329280363</v>
          </cell>
          <cell r="G19">
            <v>14.34126494203999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4.7692846707915706</v>
          </cell>
          <cell r="G20">
            <v>14.340240255781287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1.1984846221977042E-4</v>
          </cell>
          <cell r="G21">
            <v>3.6081126298880845E-3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8.6122156342955956E-5</v>
          </cell>
          <cell r="G22">
            <v>3.7763905219875562E-3</v>
          </cell>
          <cell r="L22">
            <v>2.6098697831649726</v>
          </cell>
          <cell r="M22">
            <v>1.3289807692900268</v>
          </cell>
          <cell r="N22">
            <v>0.28497095464514249</v>
          </cell>
          <cell r="O22">
            <v>3.042932699240759E-2</v>
          </cell>
          <cell r="P22">
            <v>0.31034551195936694</v>
          </cell>
          <cell r="Q22">
            <v>0.28688933168942238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L23">
            <v>6.8809873467960275E-2</v>
          </cell>
          <cell r="M23">
            <v>2.7091280496532703E-2</v>
          </cell>
          <cell r="N23">
            <v>5.433838490512129E-3</v>
          </cell>
          <cell r="O23">
            <v>2.6752625115077323E-3</v>
          </cell>
          <cell r="P23">
            <v>0.21046718578506352</v>
          </cell>
          <cell r="Q23">
            <v>0.46182484950665426</v>
          </cell>
        </row>
        <row r="24">
          <cell r="B24">
            <v>3.7155805292183604</v>
          </cell>
          <cell r="C24">
            <v>2.3295969623163489E-2</v>
          </cell>
          <cell r="D24">
            <v>6.1158054836926982E-2</v>
          </cell>
          <cell r="E24">
            <v>0</v>
          </cell>
          <cell r="F24">
            <v>6.3615801302236751E-6</v>
          </cell>
          <cell r="G24">
            <v>0</v>
          </cell>
        </row>
        <row r="25">
          <cell r="B25">
            <v>0.90316897107991756</v>
          </cell>
          <cell r="C25">
            <v>6.9519676315418666E-2</v>
          </cell>
          <cell r="D25">
            <v>1.348400345280727E-2</v>
          </cell>
          <cell r="E25">
            <v>1.6653399846674796E-2</v>
          </cell>
          <cell r="F25">
            <v>2.5109356009478345</v>
          </cell>
          <cell r="G25">
            <v>3.1284775752460208</v>
          </cell>
        </row>
        <row r="26">
          <cell r="B26">
            <v>40.317996047606471</v>
          </cell>
          <cell r="C26">
            <v>37.784287855225521</v>
          </cell>
          <cell r="D26">
            <v>37.785164419373153</v>
          </cell>
          <cell r="E26">
            <v>41.023341733129087</v>
          </cell>
          <cell r="F26">
            <v>38.412418715429794</v>
          </cell>
          <cell r="G26">
            <v>28.745468018922196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5.5350059763475032</v>
          </cell>
          <cell r="G27">
            <v>14.520212117194216</v>
          </cell>
        </row>
        <row r="28">
          <cell r="B28">
            <v>3.4481428546703795E-2</v>
          </cell>
          <cell r="C28">
            <v>1.3999901028913768E-2</v>
          </cell>
          <cell r="D28">
            <v>3.7672931816707889E-2</v>
          </cell>
          <cell r="E28">
            <v>5.1988714855509266E-3</v>
          </cell>
          <cell r="F28">
            <v>8.8974136568574225E-3</v>
          </cell>
          <cell r="G28">
            <v>2.0031739067543107E-4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2.2468126791426183E-2</v>
          </cell>
          <cell r="G30">
            <v>2.2794358802718625E-2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7.5652628041426844E-3</v>
          </cell>
          <cell r="G31">
            <v>3.9470222238021506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8.6981959219947613E-2</v>
          </cell>
          <cell r="G32">
            <v>0.55418140994153386</v>
          </cell>
        </row>
        <row r="33">
          <cell r="B33">
            <v>0.52400000000000047</v>
          </cell>
          <cell r="C33">
            <v>0.54529688685681488</v>
          </cell>
          <cell r="D33">
            <v>0.50316948519036375</v>
          </cell>
          <cell r="E33">
            <v>2.0502677777781577</v>
          </cell>
          <cell r="F33">
            <v>7.1993615699640126</v>
          </cell>
          <cell r="G33">
            <v>26.771431294598283</v>
          </cell>
        </row>
        <row r="34">
          <cell r="B34">
            <v>0</v>
          </cell>
          <cell r="C34">
            <v>0</v>
          </cell>
          <cell r="D34">
            <v>0.14079688501016394</v>
          </cell>
          <cell r="E34">
            <v>0.2741400422498631</v>
          </cell>
          <cell r="F34">
            <v>17.743539911415631</v>
          </cell>
          <cell r="G34">
            <v>41.699991763650537</v>
          </cell>
        </row>
        <row r="35">
          <cell r="B35">
            <v>3.517953999707534</v>
          </cell>
          <cell r="C35">
            <v>4.8498377393898808</v>
          </cell>
          <cell r="D35">
            <v>11.161619403278777</v>
          </cell>
          <cell r="E35">
            <v>19.470817746844464</v>
          </cell>
          <cell r="F35">
            <v>40.834409442792669</v>
          </cell>
          <cell r="G35">
            <v>55.443187600975179</v>
          </cell>
        </row>
        <row r="36">
          <cell r="B36">
            <v>2.1349390887346629</v>
          </cell>
          <cell r="C36">
            <v>3.3908432821003025</v>
          </cell>
          <cell r="D36">
            <v>4.0453269370859894</v>
          </cell>
          <cell r="E36">
            <v>12.242456166922107</v>
          </cell>
          <cell r="F36">
            <v>9.447694557259176</v>
          </cell>
          <cell r="G36">
            <v>2.0640399478835603</v>
          </cell>
        </row>
        <row r="37">
          <cell r="B37">
            <v>0.86248322578584768</v>
          </cell>
          <cell r="C37">
            <v>1.2878114211442655</v>
          </cell>
          <cell r="D37">
            <v>3.4857136526655821</v>
          </cell>
          <cell r="E37">
            <v>10.507419323507076</v>
          </cell>
          <cell r="F37">
            <v>11.607084203372828</v>
          </cell>
          <cell r="G37">
            <v>12.821466694723858</v>
          </cell>
        </row>
        <row r="38">
          <cell r="B38">
            <v>2.8396236857719668</v>
          </cell>
          <cell r="C38">
            <v>3.2944566838166156</v>
          </cell>
          <cell r="D38">
            <v>9.9665619214692089</v>
          </cell>
          <cell r="E38">
            <v>17.902353899236019</v>
          </cell>
          <cell r="F38">
            <v>40.474894579762406</v>
          </cell>
          <cell r="G38">
            <v>44.709478143511866</v>
          </cell>
        </row>
        <row r="39">
          <cell r="B39">
            <v>1.9376014417340717</v>
          </cell>
          <cell r="C39">
            <v>0.22982268600697223</v>
          </cell>
          <cell r="D39">
            <v>0.1554077580123592</v>
          </cell>
          <cell r="E39">
            <v>6.9165043576989063E-2</v>
          </cell>
          <cell r="F39">
            <v>1.8446638132833943</v>
          </cell>
          <cell r="G39">
            <v>1.9911824528714885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8.9956661480205102E-3</v>
          </cell>
          <cell r="G40">
            <v>0.77779069525824951</v>
          </cell>
        </row>
        <row r="41">
          <cell r="B41">
            <v>0.31246021132211765</v>
          </cell>
          <cell r="C41">
            <v>0.68803708361164395</v>
          </cell>
          <cell r="D41">
            <v>4.4190115031220695E-2</v>
          </cell>
          <cell r="E41">
            <v>0.64617292967547657</v>
          </cell>
          <cell r="F41">
            <v>0</v>
          </cell>
          <cell r="G41">
            <v>0</v>
          </cell>
        </row>
        <row r="42">
          <cell r="B42">
            <v>0.87266734038803795</v>
          </cell>
          <cell r="C42">
            <v>2.2685577933409391</v>
          </cell>
          <cell r="D42">
            <v>4.5130652573482823</v>
          </cell>
          <cell r="E42">
            <v>5.1544254190435801</v>
          </cell>
          <cell r="F42">
            <v>2.4422275501467881</v>
          </cell>
          <cell r="G42">
            <v>0.9447851769464074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5.6371115577458522</v>
          </cell>
          <cell r="G43">
            <v>11.856917013046091</v>
          </cell>
        </row>
        <row r="44">
          <cell r="B44">
            <v>3.7120165223518544</v>
          </cell>
          <cell r="C44">
            <v>3.8886591542751177</v>
          </cell>
          <cell r="D44">
            <v>5.4332163531034778</v>
          </cell>
          <cell r="E44">
            <v>5.7562736354247885</v>
          </cell>
          <cell r="F44">
            <v>4.8815995008077842</v>
          </cell>
          <cell r="G44">
            <v>1.6883027776798361E-3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0.81241627042287823</v>
          </cell>
          <cell r="G45">
            <v>11.710144039593148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0.46208837009921594</v>
          </cell>
          <cell r="G46">
            <v>0.33519931571262757</v>
          </cell>
        </row>
        <row r="47">
          <cell r="B47">
            <v>0</v>
          </cell>
        </row>
        <row r="48">
          <cell r="B48">
            <v>0.1135707530410503</v>
          </cell>
          <cell r="C48">
            <v>1.9581018022551779E-2</v>
          </cell>
          <cell r="D48">
            <v>6.2443399954065393E-2</v>
          </cell>
          <cell r="E48">
            <v>1.7169533704826417E-2</v>
          </cell>
          <cell r="F48">
            <v>1.4235181219669742E-2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1.273191072169629E-2</v>
          </cell>
          <cell r="F50">
            <v>3.1579054516829914E-2</v>
          </cell>
          <cell r="G50">
            <v>1.3424298094936397E-2</v>
          </cell>
        </row>
        <row r="51">
          <cell r="B51">
            <v>0.14567538543967304</v>
          </cell>
          <cell r="C51">
            <v>2.6567472608539297E-2</v>
          </cell>
          <cell r="D51">
            <v>9.720857541066541E-2</v>
          </cell>
          <cell r="E51">
            <v>2.6719638459749607E-2</v>
          </cell>
          <cell r="F51">
            <v>4.1531633880520974E-2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2.1992503241388801E-2</v>
          </cell>
          <cell r="F53">
            <v>0.43620959772791346</v>
          </cell>
          <cell r="G53">
            <v>4.4722924567238601E-2</v>
          </cell>
        </row>
        <row r="54">
          <cell r="B54">
            <v>2.6454256908119804</v>
          </cell>
          <cell r="C54">
            <v>3.0471318569535377</v>
          </cell>
          <cell r="D54">
            <v>3.0479949188832305</v>
          </cell>
          <cell r="E54">
            <v>3.0329002079491518</v>
          </cell>
          <cell r="F54">
            <v>2.9504900244446941</v>
          </cell>
          <cell r="G54">
            <v>2.8933256683265012</v>
          </cell>
        </row>
        <row r="55">
          <cell r="B55">
            <v>1.7027013795514683</v>
          </cell>
          <cell r="C55">
            <v>1.7396433574477947</v>
          </cell>
          <cell r="D55">
            <v>3.8246558936821259E-2</v>
          </cell>
          <cell r="E55">
            <v>6.1413456916932152E-3</v>
          </cell>
          <cell r="F55">
            <v>5.5042337962982191E-3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4.4241763250874432E-3</v>
          </cell>
          <cell r="F56">
            <v>7.1911323017805262E-3</v>
          </cell>
          <cell r="G56">
            <v>5.1130469719970484E-3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2.801168106396203E-2</v>
          </cell>
          <cell r="F57">
            <v>5.1313736088802311E-2</v>
          </cell>
          <cell r="G57">
            <v>8.0656101538474842E-3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0.13542890504206842</v>
          </cell>
          <cell r="C63">
            <v>1.9950774150767289E-2</v>
          </cell>
          <cell r="D63">
            <v>0.13497344688645951</v>
          </cell>
          <cell r="E63">
            <v>0.13501302705773435</v>
          </cell>
          <cell r="F63">
            <v>5.6451826708826321E-2</v>
          </cell>
          <cell r="G63">
            <v>3.1595868303067244E-2</v>
          </cell>
        </row>
        <row r="64">
          <cell r="B64">
            <v>1.3802321975902036E-2</v>
          </cell>
          <cell r="C64">
            <v>1.1069081094867633E-2</v>
          </cell>
          <cell r="D64">
            <v>1.3617279911638523E-2</v>
          </cell>
          <cell r="E64">
            <v>1.6897600131036309E-2</v>
          </cell>
          <cell r="F64">
            <v>0.87749266298275574</v>
          </cell>
          <cell r="G64">
            <v>2.3578766226499082</v>
          </cell>
        </row>
        <row r="65">
          <cell r="B65">
            <v>1.2142223089759938E-2</v>
          </cell>
          <cell r="C65">
            <v>9.6976772168057782E-3</v>
          </cell>
          <cell r="D65">
            <v>1.2046824109842971E-2</v>
          </cell>
          <cell r="E65">
            <v>1.4522843645683564E-2</v>
          </cell>
          <cell r="F65">
            <v>5.5101811162551438E-2</v>
          </cell>
          <cell r="G65">
            <v>0.74926504364051993</v>
          </cell>
        </row>
        <row r="66">
          <cell r="B66">
            <v>3.9295051772757226E-3</v>
          </cell>
          <cell r="C66">
            <v>3.9022042624564778E-3</v>
          </cell>
          <cell r="D66">
            <v>3.8937173480439653E-3</v>
          </cell>
          <cell r="E66">
            <v>0.13233018278938327</v>
          </cell>
          <cell r="F66">
            <v>0.27213022701252904</v>
          </cell>
          <cell r="G66">
            <v>0.5337473604275369</v>
          </cell>
        </row>
        <row r="67">
          <cell r="B67">
            <v>7.8422213034055437E-3</v>
          </cell>
          <cell r="C67">
            <v>7.7875840217346056E-3</v>
          </cell>
          <cell r="D67">
            <v>7.7751211952353221E-3</v>
          </cell>
          <cell r="E67">
            <v>0.1401127864405754</v>
          </cell>
          <cell r="F67">
            <v>8.9444816111899583E-2</v>
          </cell>
          <cell r="G67">
            <v>7.0710741644302078E-2</v>
          </cell>
        </row>
        <row r="68">
          <cell r="B68">
            <v>7.846246728396903E-3</v>
          </cell>
          <cell r="C68">
            <v>7.7914879009896385E-3</v>
          </cell>
          <cell r="D68">
            <v>7.7776852190413939E-3</v>
          </cell>
          <cell r="E68">
            <v>0.14440229030196727</v>
          </cell>
          <cell r="F68">
            <v>9.4348638925883313E-2</v>
          </cell>
          <cell r="G68">
            <v>7.0892709064447265E-2</v>
          </cell>
        </row>
        <row r="69">
          <cell r="B69">
            <v>3.9479148221800743E-3</v>
          </cell>
          <cell r="C69">
            <v>3.9204416300784809E-3</v>
          </cell>
          <cell r="D69">
            <v>3.9117965518261711E-3</v>
          </cell>
          <cell r="E69">
            <v>8.8174242368333253E-2</v>
          </cell>
          <cell r="F69">
            <v>6.146649470679412E-2</v>
          </cell>
          <cell r="G69">
            <v>4.7753997981646513E-2</v>
          </cell>
        </row>
        <row r="90">
          <cell r="B90">
            <v>2.0281172748939338</v>
          </cell>
          <cell r="C90">
            <v>2.8429488755225907</v>
          </cell>
          <cell r="D90">
            <v>0.63099290813751929</v>
          </cell>
          <cell r="E90">
            <v>0</v>
          </cell>
          <cell r="F90">
            <v>0</v>
          </cell>
          <cell r="G90">
            <v>0</v>
          </cell>
        </row>
        <row r="91">
          <cell r="B91">
            <v>1.1840229589538735</v>
          </cell>
          <cell r="C91">
            <v>1.1839651491832015</v>
          </cell>
          <cell r="D91">
            <v>1.1839685960860244</v>
          </cell>
          <cell r="E91">
            <v>1.1839681939553308</v>
          </cell>
          <cell r="F91">
            <v>2.1446144418657873</v>
          </cell>
          <cell r="G91">
            <v>2.8674917522537022</v>
          </cell>
        </row>
        <row r="92">
          <cell r="B92">
            <v>1.4500750022345674</v>
          </cell>
          <cell r="C92">
            <v>3.8015512173085249</v>
          </cell>
          <cell r="D92">
            <v>3.7980214619961394</v>
          </cell>
          <cell r="E92">
            <v>1.0687035992549894</v>
          </cell>
          <cell r="F92">
            <v>0</v>
          </cell>
          <cell r="G92">
            <v>0</v>
          </cell>
        </row>
        <row r="93">
          <cell r="B93">
            <v>0.21548201131922737</v>
          </cell>
          <cell r="C93">
            <v>0.21627392381577321</v>
          </cell>
          <cell r="D93">
            <v>4.9875751531787537E-3</v>
          </cell>
          <cell r="E93">
            <v>7.5757626867762901E-4</v>
          </cell>
          <cell r="F93">
            <v>3.2537598330043384E-4</v>
          </cell>
          <cell r="G93">
            <v>1.494460335370675E-5</v>
          </cell>
        </row>
        <row r="94">
          <cell r="B94">
            <v>2.6931313754700605</v>
          </cell>
          <cell r="C94">
            <v>2.430542651419509</v>
          </cell>
          <cell r="D94">
            <v>2.0839081683082412</v>
          </cell>
          <cell r="E94">
            <v>2.6918510381027279</v>
          </cell>
          <cell r="F94">
            <v>1.6117374109503344</v>
          </cell>
          <cell r="G94">
            <v>0.96507156145922657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4.6503003208537793E-4</v>
          </cell>
          <cell r="F95">
            <v>4.5982300479799234E-4</v>
          </cell>
          <cell r="G95">
            <v>4.6412476256809971E-4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6.6087511379219355E-4</v>
          </cell>
          <cell r="G96">
            <v>3.0016415376467369E-4</v>
          </cell>
        </row>
        <row r="97">
          <cell r="B97">
            <v>0</v>
          </cell>
          <cell r="C97">
            <v>0.9516958575109371</v>
          </cell>
          <cell r="D97">
            <v>0.98053524495513555</v>
          </cell>
          <cell r="E97">
            <v>3.6488205908032274</v>
          </cell>
          <cell r="F97">
            <v>4.0305740078827608</v>
          </cell>
          <cell r="G97">
            <v>4.452259351960441</v>
          </cell>
        </row>
      </sheetData>
      <sheetData sheetId="35">
        <row r="14">
          <cell r="B14">
            <v>3.0805584212796537</v>
          </cell>
          <cell r="C14">
            <v>3.0805577325510169</v>
          </cell>
          <cell r="D14">
            <v>2.7155736959239474</v>
          </cell>
          <cell r="E14">
            <v>2.6090401226802546</v>
          </cell>
          <cell r="F14">
            <v>1.2356853758987048</v>
          </cell>
          <cell r="G14">
            <v>0</v>
          </cell>
        </row>
        <row r="15">
          <cell r="B15">
            <v>7.3394300010600002</v>
          </cell>
          <cell r="C15">
            <v>7.3455482392296769</v>
          </cell>
          <cell r="D15">
            <v>7.3850755623040563</v>
          </cell>
          <cell r="E15">
            <v>7.4163017110811111</v>
          </cell>
          <cell r="F15">
            <v>7.6234113108612434</v>
          </cell>
          <cell r="G15">
            <v>7.6884339200813114</v>
          </cell>
        </row>
        <row r="16">
          <cell r="B16">
            <v>4.7247299999999992</v>
          </cell>
          <cell r="C16">
            <v>4.8084664387708811</v>
          </cell>
          <cell r="D16">
            <v>4.8652200803577852</v>
          </cell>
          <cell r="E16">
            <v>5.0419125993869969</v>
          </cell>
          <cell r="F16">
            <v>5.1998009940727243</v>
          </cell>
          <cell r="G16">
            <v>5.3656769565077242</v>
          </cell>
        </row>
        <row r="17">
          <cell r="B17">
            <v>3.3394499999999998</v>
          </cell>
          <cell r="C17">
            <v>3.9717245206318603</v>
          </cell>
          <cell r="D17">
            <v>4.3601455745108106</v>
          </cell>
          <cell r="E17">
            <v>4.3601455745108106</v>
          </cell>
          <cell r="F17">
            <v>4.3601463442024446</v>
          </cell>
          <cell r="G17">
            <v>4.3601475028288448</v>
          </cell>
        </row>
        <row r="18">
          <cell r="B18">
            <v>2.6530308010004701E-2</v>
          </cell>
          <cell r="C18">
            <v>2.3422942391097754E-2</v>
          </cell>
          <cell r="D18">
            <v>1.8496389995357538E-2</v>
          </cell>
          <cell r="E18">
            <v>6.7959920014044023E-2</v>
          </cell>
          <cell r="F18">
            <v>6.7894992271903085E-2</v>
          </cell>
          <cell r="G18">
            <v>2.3673847399887996E-3</v>
          </cell>
        </row>
        <row r="19">
          <cell r="B19">
            <v>0.2841398614609244</v>
          </cell>
          <cell r="C19">
            <v>0.28413210602461564</v>
          </cell>
          <cell r="D19">
            <v>0.28413029738717549</v>
          </cell>
          <cell r="E19">
            <v>0.29177973670791019</v>
          </cell>
          <cell r="F19">
            <v>0.27685667017878107</v>
          </cell>
          <cell r="G19">
            <v>0.20285892184130963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9.8629412737821595E-2</v>
          </cell>
          <cell r="G20">
            <v>0.18264339714632585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1.96035177734635E-5</v>
          </cell>
          <cell r="G21">
            <v>4.2896207222777559E-4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1.2694170740968976E-3</v>
          </cell>
          <cell r="G22">
            <v>1.2797594515746827E-3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5.6378759612404197E-2</v>
          </cell>
          <cell r="C24">
            <v>1.6327544129001031E-3</v>
          </cell>
          <cell r="D24">
            <v>1.6257114630121999E-3</v>
          </cell>
          <cell r="E24">
            <v>-1.5882325290900168E-6</v>
          </cell>
          <cell r="F24">
            <v>0</v>
          </cell>
          <cell r="G24">
            <v>0</v>
          </cell>
        </row>
        <row r="25">
          <cell r="B25">
            <v>8.6311829664357034E-3</v>
          </cell>
          <cell r="C25">
            <v>2.9919788441186354E-3</v>
          </cell>
          <cell r="D25">
            <v>5.3337474010674291E-4</v>
          </cell>
          <cell r="E25">
            <v>5.417636799411249E-4</v>
          </cell>
          <cell r="F25">
            <v>4.9947180431427304E-2</v>
          </cell>
          <cell r="G25">
            <v>4.9766516712487739E-2</v>
          </cell>
        </row>
        <row r="26">
          <cell r="B26">
            <v>7.8399833688503992E-2</v>
          </cell>
          <cell r="C26">
            <v>7.3601073736050238E-2</v>
          </cell>
          <cell r="D26">
            <v>7.3598826120257158E-2</v>
          </cell>
          <cell r="E26">
            <v>7.4521877897546468E-2</v>
          </cell>
          <cell r="F26">
            <v>6.141263323281889E-2</v>
          </cell>
          <cell r="G26">
            <v>5.4957674185223876E-2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2.7134198680859398E-2</v>
          </cell>
          <cell r="G27">
            <v>4.8850605742480062E-2</v>
          </cell>
        </row>
        <row r="28">
          <cell r="B28">
            <v>7.22315108378703E-3</v>
          </cell>
          <cell r="C28">
            <v>3.3076193126520973E-3</v>
          </cell>
          <cell r="D28">
            <v>2.932972179160242E-3</v>
          </cell>
          <cell r="E28">
            <v>1.3443196613396238E-3</v>
          </cell>
          <cell r="F28">
            <v>4.5312403361479607E-4</v>
          </cell>
          <cell r="G28">
            <v>2.2697061687695013E-4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1.09052238455631E-3</v>
          </cell>
          <cell r="G30">
            <v>1.0962515874097739E-3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1.6993368648148501E-4</v>
          </cell>
          <cell r="G31">
            <v>2.1776818533828814E-2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5.1778526695784503E-4</v>
          </cell>
          <cell r="G32">
            <v>3.3073009591384523E-3</v>
          </cell>
        </row>
        <row r="33">
          <cell r="B33">
            <v>8.7120000000000003E-2</v>
          </cell>
          <cell r="C33">
            <v>9.0660810654514645E-2</v>
          </cell>
          <cell r="D33">
            <v>8.3656728148443646E-2</v>
          </cell>
          <cell r="E33">
            <v>0.34087709206847033</v>
          </cell>
          <cell r="F33">
            <v>1.1969654272203567</v>
          </cell>
          <cell r="G33">
            <v>4.4510101496192602</v>
          </cell>
        </row>
        <row r="34">
          <cell r="B34">
            <v>0</v>
          </cell>
          <cell r="C34">
            <v>0</v>
          </cell>
          <cell r="D34">
            <v>4.4922649400891003E-2</v>
          </cell>
          <cell r="E34">
            <v>7.9026449021597903E-2</v>
          </cell>
          <cell r="F34">
            <v>5.1149499684941162</v>
          </cell>
          <cell r="G34">
            <v>12.020902749115141</v>
          </cell>
        </row>
        <row r="35">
          <cell r="B35">
            <v>1.1186210000000001</v>
          </cell>
          <cell r="C35">
            <v>1.6529277008828172</v>
          </cell>
          <cell r="D35">
            <v>3.5611846225568398</v>
          </cell>
          <cell r="E35">
            <v>5.6146898096338802</v>
          </cell>
          <cell r="F35">
            <v>11.775189436886036</v>
          </cell>
          <cell r="G35">
            <v>15.9878396939952</v>
          </cell>
        </row>
        <row r="36">
          <cell r="B36">
            <v>0.67885700000000004</v>
          </cell>
          <cell r="C36">
            <v>1.1559606523265524</v>
          </cell>
          <cell r="D36">
            <v>1.2907023431749296</v>
          </cell>
          <cell r="E36">
            <v>3.5291427639678945</v>
          </cell>
          <cell r="F36">
            <v>2.723498711395214</v>
          </cell>
          <cell r="G36">
            <v>0.5950076482856641</v>
          </cell>
        </row>
        <row r="37">
          <cell r="B37">
            <v>0.27424799999999999</v>
          </cell>
          <cell r="C37">
            <v>0.43902333555126466</v>
          </cell>
          <cell r="D37">
            <v>1.1121535980333821</v>
          </cell>
          <cell r="E37">
            <v>3.0289839000454419</v>
          </cell>
          <cell r="F37">
            <v>3.345989607388562</v>
          </cell>
          <cell r="G37">
            <v>3.69606009270617</v>
          </cell>
        </row>
        <row r="38">
          <cell r="B38">
            <v>0.90292899999999998</v>
          </cell>
          <cell r="C38">
            <v>1.1231018227316136</v>
          </cell>
          <cell r="D38">
            <v>3.1799316254436203</v>
          </cell>
          <cell r="E38">
            <v>5.16072659023102</v>
          </cell>
          <cell r="F38">
            <v>11.667733848876789</v>
          </cell>
          <cell r="G38">
            <v>12.8884411190578</v>
          </cell>
        </row>
        <row r="39">
          <cell r="B39">
            <v>2.5860735527169304E-2</v>
          </cell>
          <cell r="C39">
            <v>1.9127372504588368E-2</v>
          </cell>
          <cell r="D39">
            <v>1.2515636670231957E-2</v>
          </cell>
          <cell r="E39">
            <v>5.8888560248377877E-3</v>
          </cell>
          <cell r="F39">
            <v>6.6405254244868955E-2</v>
          </cell>
          <cell r="G39">
            <v>6.4473809139384414E-2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5.8837669723778904E-4</v>
          </cell>
          <cell r="G40">
            <v>3.6889575418029556E-2</v>
          </cell>
        </row>
        <row r="41">
          <cell r="B41">
            <v>8.3026350789480174E-3</v>
          </cell>
          <cell r="C41">
            <v>2.3062045465342514E-2</v>
          </cell>
          <cell r="D41">
            <v>2.3059109658048291E-2</v>
          </cell>
          <cell r="E41">
            <v>2.3057338839570684E-2</v>
          </cell>
          <cell r="F41">
            <v>0</v>
          </cell>
          <cell r="G41">
            <v>0</v>
          </cell>
        </row>
        <row r="42">
          <cell r="B42">
            <v>8.7840471457388408E-3</v>
          </cell>
          <cell r="C42">
            <v>1.8939416204235018E-2</v>
          </cell>
          <cell r="D42">
            <v>4.1499345293556783E-2</v>
          </cell>
          <cell r="E42">
            <v>6.4488494439412083E-2</v>
          </cell>
          <cell r="F42">
            <v>6.4454311166760883E-2</v>
          </cell>
          <cell r="G42">
            <v>2.5958718658327749E-2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9.3917497592637997E-2</v>
          </cell>
          <cell r="G43">
            <v>0.17124766233377101</v>
          </cell>
        </row>
        <row r="44">
          <cell r="B44">
            <v>4.7938473512894611E-2</v>
          </cell>
          <cell r="C44">
            <v>1.3840356207507287E-2</v>
          </cell>
          <cell r="D44">
            <v>1.3839593737357304E-2</v>
          </cell>
          <cell r="E44">
            <v>1.4518646510080956E-2</v>
          </cell>
          <cell r="F44">
            <v>1.4529302276711616E-2</v>
          </cell>
          <cell r="G44">
            <v>2.1970507821576953E-4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4.50706756881102E-3</v>
          </cell>
          <cell r="G45">
            <v>6.5884555296154917E-2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6.0316935560079075E-2</v>
          </cell>
          <cell r="G46">
            <v>2.7059214742532409E-2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5.5158179213726343E-4</v>
          </cell>
          <cell r="G47">
            <v>2.6430182988986016E-4</v>
          </cell>
        </row>
        <row r="48">
          <cell r="B48">
            <v>4.17644860082009E-3</v>
          </cell>
          <cell r="C48">
            <v>1.5238405984654671E-3</v>
          </cell>
          <cell r="D48">
            <v>1.4230093332485629E-3</v>
          </cell>
          <cell r="E48">
            <v>1.0351504151835664E-3</v>
          </cell>
          <cell r="F48">
            <v>3.314145618956094E-4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2.3540209900740401E-4</v>
          </cell>
          <cell r="F50">
            <v>6.5502013731506489E-4</v>
          </cell>
          <cell r="G50">
            <v>2.8595766156076004E-4</v>
          </cell>
        </row>
        <row r="51">
          <cell r="B51">
            <v>8.802762795919631E-3</v>
          </cell>
          <cell r="C51">
            <v>2.261337539816376E-3</v>
          </cell>
          <cell r="D51">
            <v>2.2588548680218638E-3</v>
          </cell>
          <cell r="E51">
            <v>2.2555392998097933E-3</v>
          </cell>
          <cell r="F51">
            <v>9.1090124439570114E-4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3.9477437322836203E-4</v>
          </cell>
          <cell r="F53">
            <v>8.828205537795137E-3</v>
          </cell>
          <cell r="G53">
            <v>9.2391287211307039E-4</v>
          </cell>
        </row>
        <row r="54">
          <cell r="B54">
            <v>7.3511680318082112E-2</v>
          </cell>
          <cell r="C54">
            <v>8.4755074678503697E-2</v>
          </cell>
          <cell r="D54">
            <v>8.475449682011417E-2</v>
          </cell>
          <cell r="E54">
            <v>8.4768400899026861E-2</v>
          </cell>
          <cell r="F54">
            <v>0.14468414052706316</v>
          </cell>
          <cell r="G54">
            <v>8.4756116306497417E-2</v>
          </cell>
        </row>
        <row r="55">
          <cell r="B55">
            <v>6.519926786226457E-2</v>
          </cell>
          <cell r="C55">
            <v>4.7877278791953207E-2</v>
          </cell>
          <cell r="D55">
            <v>1.7085134303354982E-3</v>
          </cell>
          <cell r="E55">
            <v>3.2866812899889908E-4</v>
          </cell>
          <cell r="F55">
            <v>1.7017654786140139E-4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1.6777707423138E-4</v>
          </cell>
          <cell r="F56">
            <v>2.4893151310567143E-4</v>
          </cell>
          <cell r="G56">
            <v>1.6687408792364565E-4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7.8135884390020298E-4</v>
          </cell>
          <cell r="F57">
            <v>1.6220252533704501E-3</v>
          </cell>
          <cell r="G57">
            <v>6.6800974326212774E-4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0.1</v>
          </cell>
          <cell r="C63">
            <v>9.9996673232420646E-2</v>
          </cell>
          <cell r="D63">
            <v>9.9996224530244149E-2</v>
          </cell>
          <cell r="E63">
            <v>9.9996285104096083E-2</v>
          </cell>
          <cell r="F63">
            <v>9.9997825392235951E-2</v>
          </cell>
          <cell r="G63">
            <v>9.9998251792167175E-2</v>
          </cell>
        </row>
        <row r="64">
          <cell r="B64">
            <v>2.0459664929528801E-3</v>
          </cell>
          <cell r="C64">
            <v>2.047727456862256E-3</v>
          </cell>
          <cell r="D64">
            <v>2.0591882035579686E-3</v>
          </cell>
          <cell r="E64">
            <v>2.5018343963962566E-3</v>
          </cell>
          <cell r="F64">
            <v>1.0423070824699199</v>
          </cell>
          <cell r="G64">
            <v>1.4706677235583945</v>
          </cell>
        </row>
        <row r="65">
          <cell r="B65">
            <v>1.5170488945995099E-3</v>
          </cell>
          <cell r="C65">
            <v>1.5183528895792088E-3</v>
          </cell>
          <cell r="D65">
            <v>1.5264426230581572E-3</v>
          </cell>
          <cell r="E65">
            <v>1.792568477158523E-3</v>
          </cell>
          <cell r="F65">
            <v>1.460571006068561E-2</v>
          </cell>
          <cell r="G65">
            <v>0.26863266356901266</v>
          </cell>
        </row>
        <row r="66">
          <cell r="B66">
            <v>1.4390343398289836E-3</v>
          </cell>
          <cell r="C66">
            <v>1.4405890464384446E-3</v>
          </cell>
          <cell r="D66">
            <v>1.4453973420752607E-3</v>
          </cell>
          <cell r="E66">
            <v>4.901193438826186E-2</v>
          </cell>
          <cell r="F66">
            <v>0.1861580266905821</v>
          </cell>
          <cell r="G66">
            <v>0.31176192638487249</v>
          </cell>
        </row>
        <row r="67">
          <cell r="B67">
            <v>2.8713588557344885E-3</v>
          </cell>
          <cell r="C67">
            <v>2.8743547668799337E-3</v>
          </cell>
          <cell r="D67">
            <v>2.8847011904937266E-3</v>
          </cell>
          <cell r="E67">
            <v>5.1894736401743212E-2</v>
          </cell>
          <cell r="F67">
            <v>5.5751718177931703E-2</v>
          </cell>
          <cell r="G67">
            <v>3.0845542395018147E-2</v>
          </cell>
        </row>
        <row r="68">
          <cell r="B68">
            <v>2.8728642404086445E-3</v>
          </cell>
          <cell r="C68">
            <v>2.8758670211741616E-3</v>
          </cell>
          <cell r="D68">
            <v>2.8863167070260851E-3</v>
          </cell>
          <cell r="E68">
            <v>5.3481890668403698E-2</v>
          </cell>
          <cell r="F68">
            <v>5.8802085980640378E-2</v>
          </cell>
          <cell r="G68">
            <v>3.0921632199229946E-2</v>
          </cell>
        </row>
        <row r="69">
          <cell r="B69">
            <v>1.4457703461502394E-3</v>
          </cell>
          <cell r="C69">
            <v>1.4473333403808302E-3</v>
          </cell>
          <cell r="D69">
            <v>1.452195437087645E-3</v>
          </cell>
          <cell r="E69">
            <v>3.2655756140199936E-2</v>
          </cell>
          <cell r="F69">
            <v>3.3205949496797761E-2</v>
          </cell>
          <cell r="G69">
            <v>1.9152551882859106E-2</v>
          </cell>
        </row>
      </sheetData>
      <sheetData sheetId="36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6.1182381696765695E-3</v>
          </cell>
          <cell r="D15">
            <v>3.9653195682115547E-2</v>
          </cell>
          <cell r="E15">
            <v>0.23816600688461198</v>
          </cell>
          <cell r="F15">
            <v>3.2985670964822925E-2</v>
          </cell>
          <cell r="G15">
            <v>0.10751204752947092</v>
          </cell>
        </row>
        <row r="16">
          <cell r="B16">
            <v>0</v>
          </cell>
          <cell r="C16">
            <v>1.401872766400424E-3</v>
          </cell>
          <cell r="D16">
            <v>0.2521572444135361</v>
          </cell>
          <cell r="E16">
            <v>1.3116035286895589E-3</v>
          </cell>
          <cell r="F16">
            <v>0.18275259415093628</v>
          </cell>
          <cell r="G16">
            <v>1.4601843956328909E-5</v>
          </cell>
        </row>
        <row r="17">
          <cell r="B17">
            <v>0</v>
          </cell>
          <cell r="C17">
            <v>6.9557451081056498E-4</v>
          </cell>
          <cell r="D17">
            <v>3.1744338393536801E-7</v>
          </cell>
          <cell r="E17">
            <v>4.5224825041288001E-7</v>
          </cell>
          <cell r="F17">
            <v>6.0106319867024803E-7</v>
          </cell>
          <cell r="G17">
            <v>1.8584772335977901E-6</v>
          </cell>
        </row>
        <row r="18">
          <cell r="B18">
            <v>0</v>
          </cell>
          <cell r="C18">
            <v>2.5612712594952401E-5</v>
          </cell>
          <cell r="D18">
            <v>5.87956230469868E-3</v>
          </cell>
          <cell r="E18">
            <v>5.5060794161154197E-2</v>
          </cell>
          <cell r="F18">
            <v>6.7536007184364196E-6</v>
          </cell>
          <cell r="G18">
            <v>6.88111828996671E-6</v>
          </cell>
        </row>
        <row r="19">
          <cell r="B19">
            <v>0</v>
          </cell>
          <cell r="C19">
            <v>4.2607882235710801E-7</v>
          </cell>
          <cell r="D19">
            <v>9.5895215083301594E-7</v>
          </cell>
          <cell r="E19">
            <v>7.9675770340114499E-2</v>
          </cell>
          <cell r="F19">
            <v>1.4777115256348301E-2</v>
          </cell>
          <cell r="G19">
            <v>3.51918953090463E-3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9.8629412737821595E-2</v>
          </cell>
          <cell r="G20">
            <v>8.4014074114606901E-2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4.0714362348522501E-5</v>
          </cell>
          <cell r="G21">
            <v>5.2551258024800102E-4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1.13948629892905E-5</v>
          </cell>
          <cell r="G22">
            <v>9.4220798277544893E-6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4.0704823790927599E-7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>
            <v>0</v>
          </cell>
          <cell r="C25">
            <v>3.8424414703471598E-7</v>
          </cell>
          <cell r="D25">
            <v>6.4468130691910195E-5</v>
          </cell>
          <cell r="E25">
            <v>1.41580091704804E-5</v>
          </cell>
          <cell r="F25">
            <v>4.94661433682487E-2</v>
          </cell>
          <cell r="G25">
            <v>4.0806212028831899E-5</v>
          </cell>
        </row>
        <row r="26">
          <cell r="B26">
            <v>0</v>
          </cell>
          <cell r="C26">
            <v>3.8133852260893398E-7</v>
          </cell>
          <cell r="D26">
            <v>4.5035623116118699E-7</v>
          </cell>
          <cell r="E26">
            <v>9.2539405337890802E-4</v>
          </cell>
          <cell r="F26">
            <v>8.6873542610045301E-3</v>
          </cell>
          <cell r="G26">
            <v>2.17877093640346E-2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2.7134198680859398E-2</v>
          </cell>
          <cell r="G27">
            <v>2.1716498025585899E-2</v>
          </cell>
        </row>
        <row r="28">
          <cell r="B28">
            <v>0</v>
          </cell>
          <cell r="C28">
            <v>8.4849427099263894E-6</v>
          </cell>
          <cell r="D28">
            <v>9.64815008414602E-6</v>
          </cell>
          <cell r="E28">
            <v>9.4900192753111706E-6</v>
          </cell>
          <cell r="F28">
            <v>1.00843713844153E-4</v>
          </cell>
          <cell r="G28">
            <v>1.0112284756456E-4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1.09052238455631E-3</v>
          </cell>
          <cell r="G30">
            <v>6.0372741927711398E-6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3.5293368091277098E-4</v>
          </cell>
          <cell r="G31">
            <v>2.8952781218123901E-2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3.30747599478479E-3</v>
          </cell>
          <cell r="G32">
            <v>5.5789760392950704E-7</v>
          </cell>
        </row>
        <row r="33">
          <cell r="B33">
            <v>0</v>
          </cell>
          <cell r="C33">
            <v>7.1329226179074499E-3</v>
          </cell>
          <cell r="D33">
            <v>0.29200621561575801</v>
          </cell>
          <cell r="E33">
            <v>0.28589085776586098</v>
          </cell>
          <cell r="F33">
            <v>1.4406796488942399E-5</v>
          </cell>
          <cell r="G33">
            <v>5.8890511640983396</v>
          </cell>
        </row>
        <row r="34">
          <cell r="B34">
            <v>0</v>
          </cell>
          <cell r="C34">
            <v>0</v>
          </cell>
          <cell r="D34">
            <v>4.4922649400891003E-2</v>
          </cell>
          <cell r="E34">
            <v>2.37144714680378E-2</v>
          </cell>
          <cell r="F34">
            <v>0.17054409931433301</v>
          </cell>
          <cell r="G34">
            <v>1.3787059156007</v>
          </cell>
        </row>
        <row r="35">
          <cell r="B35">
            <v>0</v>
          </cell>
          <cell r="C35">
            <v>6.8629576705329203E-7</v>
          </cell>
          <cell r="D35">
            <v>1.76796293626108</v>
          </cell>
          <cell r="E35">
            <v>2.1224210838811501</v>
          </cell>
          <cell r="F35">
            <v>3.7926827785501902</v>
          </cell>
          <cell r="G35">
            <v>8.7804263198247607</v>
          </cell>
        </row>
        <row r="36">
          <cell r="B36">
            <v>0</v>
          </cell>
          <cell r="C36">
            <v>6.0734648402480388E-5</v>
          </cell>
          <cell r="D36">
            <v>1.4846085265271664E-3</v>
          </cell>
          <cell r="E36">
            <v>2.2753232557365908</v>
          </cell>
          <cell r="F36">
            <v>2.0589012909445067E-4</v>
          </cell>
          <cell r="G36">
            <v>3.0009725455613276E-3</v>
          </cell>
        </row>
        <row r="37">
          <cell r="B37">
            <v>0</v>
          </cell>
          <cell r="C37">
            <v>7.8018074851650673E-5</v>
          </cell>
          <cell r="D37">
            <v>0.62892757995853088</v>
          </cell>
          <cell r="E37">
            <v>1.9285550897525798</v>
          </cell>
          <cell r="F37">
            <v>0.3874701278642384</v>
          </cell>
          <cell r="G37">
            <v>2.6134521197836698</v>
          </cell>
        </row>
        <row r="38">
          <cell r="B38">
            <v>0</v>
          </cell>
          <cell r="C38">
            <v>5.6116360364297204E-7</v>
          </cell>
          <cell r="D38">
            <v>2.00470206428002</v>
          </cell>
          <cell r="E38">
            <v>2.06536478654672</v>
          </cell>
          <cell r="F38">
            <v>3.6607414191560701</v>
          </cell>
          <cell r="G38">
            <v>5.7258761241270699</v>
          </cell>
        </row>
        <row r="39">
          <cell r="B39">
            <v>0</v>
          </cell>
          <cell r="C39">
            <v>1.3884539888651699E-6</v>
          </cell>
          <cell r="D39">
            <v>1.17504599350788E-4</v>
          </cell>
          <cell r="E39">
            <v>2.0142925321751399E-3</v>
          </cell>
          <cell r="F39">
            <v>6.2664265183512896E-2</v>
          </cell>
          <cell r="G39">
            <v>9.8834450190654621E-6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5.8837669723778904E-4</v>
          </cell>
          <cell r="G40">
            <v>3.6301605021741297E-2</v>
          </cell>
        </row>
        <row r="41">
          <cell r="B41">
            <v>0</v>
          </cell>
          <cell r="C41">
            <v>2.2133799788999601E-2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>
            <v>0</v>
          </cell>
          <cell r="C42">
            <v>1.72606770908387E-2</v>
          </cell>
          <cell r="D42">
            <v>2.2560522975383902E-2</v>
          </cell>
          <cell r="E42">
            <v>2.2990806325588701E-2</v>
          </cell>
          <cell r="F42">
            <v>1.77129538798631E-5</v>
          </cell>
          <cell r="G42">
            <v>7.0213976015243203E-3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9.3917497592637997E-2</v>
          </cell>
          <cell r="G43">
            <v>0.103088585852275</v>
          </cell>
        </row>
        <row r="44">
          <cell r="B44">
            <v>0</v>
          </cell>
          <cell r="C44">
            <v>1.0369297690847701E-6</v>
          </cell>
          <cell r="D44">
            <v>1.67229214861707E-6</v>
          </cell>
          <cell r="E44">
            <v>2.4619047450644598E-3</v>
          </cell>
          <cell r="F44">
            <v>1.50275001750891E-6</v>
          </cell>
          <cell r="G44">
            <v>1.01212898757871E-7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4.50706756881102E-3</v>
          </cell>
          <cell r="G45">
            <v>6.1377563233241401E-2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1.77619459924243E-6</v>
          </cell>
          <cell r="G46">
            <v>1.54535189744509E-3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8.8548680013217793E-5</v>
          </cell>
          <cell r="G47">
            <v>4.4603814256087901E-6</v>
          </cell>
        </row>
        <row r="48">
          <cell r="B48">
            <v>0</v>
          </cell>
          <cell r="C48">
            <v>4.0340210057753022E-4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2.3540209900740401E-4</v>
          </cell>
          <cell r="F50">
            <v>2.3679451643092479E-4</v>
          </cell>
          <cell r="G50">
            <v>5.3605228553366797E-6</v>
          </cell>
        </row>
        <row r="51">
          <cell r="B51">
            <v>0</v>
          </cell>
          <cell r="C51">
            <v>7.2371856517344422E-4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3.9477437322836203E-4</v>
          </cell>
          <cell r="F53">
            <v>4.9005385892710298E-3</v>
          </cell>
          <cell r="G53">
            <v>1.5663281516855761E-6</v>
          </cell>
        </row>
        <row r="54">
          <cell r="B54">
            <v>0</v>
          </cell>
          <cell r="C54">
            <v>2.6200143869071699E-2</v>
          </cell>
          <cell r="D54">
            <v>6.5710843749053798E-3</v>
          </cell>
          <cell r="E54">
            <v>1.22443893067879E-2</v>
          </cell>
          <cell r="F54">
            <v>9.1093336318096699E-2</v>
          </cell>
          <cell r="G54">
            <v>7.8555601205529499E-6</v>
          </cell>
        </row>
        <row r="55">
          <cell r="B55">
            <v>0</v>
          </cell>
          <cell r="C55">
            <v>2.71734149078895E-2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1.6777707423138E-4</v>
          </cell>
          <cell r="F56">
            <v>1.2306358646689699E-4</v>
          </cell>
          <cell r="G56">
            <v>7.2916533334975594E-5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7.8135884390020298E-4</v>
          </cell>
          <cell r="F57">
            <v>3.6401709696460497E-4</v>
          </cell>
          <cell r="G57">
            <v>9.8012716611920895E-5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63">
          <cell r="B63">
            <v>0</v>
          </cell>
          <cell r="C63">
            <v>1.13470270115798E-6</v>
          </cell>
          <cell r="D63">
            <v>1.2237118814970701E-6</v>
          </cell>
          <cell r="E63">
            <v>1.2964934863810201E-6</v>
          </cell>
          <cell r="F63">
            <v>2.00775105235547E-6</v>
          </cell>
          <cell r="G63">
            <v>1.31915888336905E-6</v>
          </cell>
        </row>
        <row r="64">
          <cell r="B64">
            <v>2.0459664929528801E-3</v>
          </cell>
          <cell r="C64">
            <v>3.0490049217717998E-6</v>
          </cell>
          <cell r="D64">
            <v>1.2290375706603099E-5</v>
          </cell>
          <cell r="E64">
            <v>9.9283475693279504E-4</v>
          </cell>
          <cell r="F64">
            <v>0.79699702489611901</v>
          </cell>
          <cell r="G64">
            <v>1.0279526524298801</v>
          </cell>
        </row>
        <row r="65">
          <cell r="B65">
            <v>1.5170488945995099E-3</v>
          </cell>
          <cell r="C65">
            <v>2.2595105895508699E-6</v>
          </cell>
          <cell r="D65">
            <v>8.8134616188627504E-6</v>
          </cell>
          <cell r="E65">
            <v>6.73751158374188E-4</v>
          </cell>
          <cell r="F65">
            <v>2.0328358833186801E-3</v>
          </cell>
          <cell r="G65">
            <v>0.26542928225085199</v>
          </cell>
        </row>
        <row r="66">
          <cell r="B66">
            <v>1.43706820049107E-3</v>
          </cell>
          <cell r="C66">
            <v>2.2823038487974101E-6</v>
          </cell>
          <cell r="D66">
            <v>6.1926732140032497E-6</v>
          </cell>
          <cell r="E66">
            <v>4.7954586095117997E-2</v>
          </cell>
          <cell r="F66">
            <v>0.106446405382998</v>
          </cell>
          <cell r="G66">
            <v>0.24588123176361601</v>
          </cell>
        </row>
        <row r="67">
          <cell r="B67">
            <v>2.8661977592855299E-3</v>
          </cell>
          <cell r="C67">
            <v>4.4905970581086006E-6</v>
          </cell>
          <cell r="D67">
            <v>1.3116864415439589E-5</v>
          </cell>
          <cell r="E67">
            <v>4.9785304824671098E-2</v>
          </cell>
          <cell r="F67">
            <v>4.2631962958009306E-2</v>
          </cell>
          <cell r="G67">
            <v>8.71179871658153E-3</v>
          </cell>
        </row>
        <row r="68">
          <cell r="B68">
            <v>2.8677031899124999E-3</v>
          </cell>
          <cell r="C68">
            <v>4.4948328446479301E-6</v>
          </cell>
          <cell r="D68">
            <v>1.322501432775144E-5</v>
          </cell>
          <cell r="E68">
            <v>5.1371226510898302E-2</v>
          </cell>
          <cell r="F68">
            <v>4.6276022526901398E-2</v>
          </cell>
          <cell r="G68">
            <v>7.1138529440003297E-3</v>
          </cell>
        </row>
        <row r="69">
          <cell r="B69">
            <v>1.44354856317582E-3</v>
          </cell>
          <cell r="C69">
            <v>2.29282713862438E-6</v>
          </cell>
          <cell r="D69">
            <v>6.2632180227310199E-6</v>
          </cell>
          <cell r="E69">
            <v>3.1593588799364899E-2</v>
          </cell>
          <cell r="F69">
            <v>2.67041896619481E-2</v>
          </cell>
          <cell r="G69">
            <v>5.6019494687663601E-3</v>
          </cell>
        </row>
      </sheetData>
      <sheetData sheetId="37"/>
      <sheetData sheetId="38"/>
      <sheetData sheetId="39"/>
      <sheetData sheetId="40"/>
      <sheetData sheetId="41"/>
      <sheetData sheetId="42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1.1800181954889552E-3</v>
          </cell>
        </row>
      </sheetData>
      <sheetData sheetId="43">
        <row r="5">
          <cell r="B5">
            <v>0.13803200651567352</v>
          </cell>
          <cell r="C5">
            <v>1.2036142113716122</v>
          </cell>
          <cell r="D5">
            <v>1.2029202954980946</v>
          </cell>
          <cell r="E5">
            <v>0.95412765047307246</v>
          </cell>
          <cell r="F5">
            <v>2.3551400658203501</v>
          </cell>
          <cell r="G5">
            <v>5.2561852966784244</v>
          </cell>
        </row>
        <row r="12">
          <cell r="B12">
            <v>1.4611241706793983</v>
          </cell>
          <cell r="C12">
            <v>0.2814088724245255</v>
          </cell>
          <cell r="D12">
            <v>1.5960512106791773</v>
          </cell>
          <cell r="E12">
            <v>1.6674504519051325</v>
          </cell>
          <cell r="F12">
            <v>5.0804190942731837E-4</v>
          </cell>
          <cell r="G12">
            <v>1.3243979384179793E-2</v>
          </cell>
        </row>
        <row r="19">
          <cell r="B19">
            <v>1.32802007570037</v>
          </cell>
          <cell r="C19">
            <v>4.3847655716738618</v>
          </cell>
          <cell r="D19">
            <v>4.3847716285726008</v>
          </cell>
          <cell r="E19">
            <v>4.3847791454292375</v>
          </cell>
          <cell r="F19">
            <v>6.0700262512340153</v>
          </cell>
          <cell r="G19">
            <v>6.583830369078786</v>
          </cell>
        </row>
        <row r="20">
          <cell r="B20">
            <v>5.6294253496572164</v>
          </cell>
          <cell r="C20">
            <v>5.7293049286075135</v>
          </cell>
          <cell r="D20">
            <v>5.2984817034521816</v>
          </cell>
          <cell r="E20">
            <v>6.9211544317700699</v>
          </cell>
          <cell r="F20">
            <v>8.5093279107515993</v>
          </cell>
          <cell r="G20">
            <v>9.9617008912171023</v>
          </cell>
        </row>
        <row r="21">
          <cell r="B21">
            <v>0</v>
          </cell>
          <cell r="C21">
            <v>1.0391933113413465E-3</v>
          </cell>
          <cell r="D21">
            <v>4.5232740710757501E-4</v>
          </cell>
          <cell r="E21">
            <v>8.0414306142837493E-3</v>
          </cell>
          <cell r="F21">
            <v>0.97597900827493322</v>
          </cell>
          <cell r="G21">
            <v>1.5359391637052635</v>
          </cell>
        </row>
        <row r="28">
          <cell r="B28">
            <v>4.1720028877363083E-3</v>
          </cell>
          <cell r="C28">
            <v>7.0518731168543866E-3</v>
          </cell>
          <cell r="D28">
            <v>7.2979184769940125E-3</v>
          </cell>
          <cell r="E28">
            <v>3.0530726106373397E-2</v>
          </cell>
          <cell r="F28">
            <v>25.9028124167302</v>
          </cell>
          <cell r="G28">
            <v>54.718516781954094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1.9149825084798866E-4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6.4035230082802E-4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1.8058792148730474E-4</v>
          </cell>
          <cell r="F31">
            <v>5.6853355630079978</v>
          </cell>
          <cell r="G31">
            <v>0.99738136463595151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5.5888672823996499</v>
          </cell>
        </row>
        <row r="38">
          <cell r="B38">
            <v>1.2890876172062371</v>
          </cell>
          <cell r="C38">
            <v>3.7951835589884095</v>
          </cell>
          <cell r="D38">
            <v>3.7951888907704099</v>
          </cell>
          <cell r="E38">
            <v>5.5260970288645863</v>
          </cell>
          <cell r="F38">
            <v>8.7203055090000809</v>
          </cell>
          <cell r="G38">
            <v>10.136517908056893</v>
          </cell>
        </row>
        <row r="39">
          <cell r="B39">
            <v>1.1764865211904751</v>
          </cell>
          <cell r="C39">
            <v>3.4636763576010816</v>
          </cell>
          <cell r="D39">
            <v>3.4636812236548553</v>
          </cell>
          <cell r="E39">
            <v>5.0433954856691292</v>
          </cell>
          <cell r="F39">
            <v>7.9585916077884979</v>
          </cell>
          <cell r="G39">
            <v>9.2510986308907093</v>
          </cell>
        </row>
      </sheetData>
      <sheetData sheetId="44">
        <row r="3">
          <cell r="B3">
            <v>48.063397652170998</v>
          </cell>
          <cell r="C3">
            <v>50.717002835276368</v>
          </cell>
          <cell r="D3">
            <v>52.134525433445624</v>
          </cell>
          <cell r="E3">
            <v>53.585502534021352</v>
          </cell>
          <cell r="F3">
            <v>55.066414453491767</v>
          </cell>
          <cell r="G3">
            <v>56.762948877453901</v>
          </cell>
        </row>
        <row r="6">
          <cell r="B6">
            <v>0</v>
          </cell>
          <cell r="C6">
            <v>4.8943507784783788</v>
          </cell>
          <cell r="D6">
            <v>4.8943776599225197</v>
          </cell>
          <cell r="E6">
            <v>5.620105213190155</v>
          </cell>
          <cell r="F6">
            <v>13.722094500091645</v>
          </cell>
          <cell r="G6">
            <v>13.722121942310171</v>
          </cell>
        </row>
        <row r="11">
          <cell r="B11">
            <v>60.070144284535317</v>
          </cell>
          <cell r="C11">
            <v>62.576466668237401</v>
          </cell>
          <cell r="D11">
            <v>69.495752273185772</v>
          </cell>
          <cell r="E11">
            <v>72.092472791407701</v>
          </cell>
          <cell r="F11">
            <v>70.391240786734187</v>
          </cell>
          <cell r="G11">
            <v>74.140339674588972</v>
          </cell>
        </row>
        <row r="18">
          <cell r="B18">
            <v>3.560084694924718</v>
          </cell>
          <cell r="C18">
            <v>3.4647372887981449</v>
          </cell>
          <cell r="D18">
            <v>3.2185923772086182</v>
          </cell>
          <cell r="E18">
            <v>6.4833666496820312E-4</v>
          </cell>
          <cell r="F18">
            <v>1.0123174128948299E-3</v>
          </cell>
          <cell r="G18">
            <v>2.4086008422096807E-5</v>
          </cell>
        </row>
        <row r="19">
          <cell r="B19">
            <v>12.728695378577054</v>
          </cell>
          <cell r="C19">
            <v>13.638445452085186</v>
          </cell>
          <cell r="D19">
            <v>13.447829749894602</v>
          </cell>
          <cell r="E19">
            <v>15.16913797296368</v>
          </cell>
          <cell r="F19">
            <v>15.132343975263366</v>
          </cell>
          <cell r="G19">
            <v>21.050075670178398</v>
          </cell>
        </row>
        <row r="21">
          <cell r="B21">
            <v>7.7980931784811709</v>
          </cell>
          <cell r="C21">
            <v>8.0802456975124795</v>
          </cell>
          <cell r="D21">
            <v>5.6084722783459791</v>
          </cell>
          <cell r="E21">
            <v>5.9404852132494339</v>
          </cell>
          <cell r="F21">
            <v>5.8772723012982544</v>
          </cell>
          <cell r="G21">
            <v>2.7351148112672786E-4</v>
          </cell>
        </row>
        <row r="22">
          <cell r="B22">
            <v>6.7756660819850226E-2</v>
          </cell>
          <cell r="C22">
            <v>8.5517462591914242E-2</v>
          </cell>
          <cell r="D22">
            <v>8.5761572348039286E-2</v>
          </cell>
          <cell r="E22">
            <v>2.3297851568660062</v>
          </cell>
          <cell r="F22">
            <v>2.3214231209567906</v>
          </cell>
          <cell r="G22">
            <v>1.6632643607977544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16.137014852750646</v>
          </cell>
          <cell r="G23">
            <v>21.47890327814142</v>
          </cell>
        </row>
        <row r="24">
          <cell r="B24">
            <v>0.74857702472387722</v>
          </cell>
          <cell r="C24">
            <v>0.94976627876389941</v>
          </cell>
          <cell r="D24">
            <v>1.1649608557092708</v>
          </cell>
          <cell r="E24">
            <v>4.0611893219767321</v>
          </cell>
          <cell r="F24">
            <v>4.1300715896102771</v>
          </cell>
          <cell r="G24">
            <v>4.1934070282669422</v>
          </cell>
        </row>
        <row r="33">
          <cell r="B33">
            <v>12.006746632364312</v>
          </cell>
          <cell r="C33">
            <v>12.710078921916294</v>
          </cell>
          <cell r="D33">
            <v>18.21184677176684</v>
          </cell>
          <cell r="E33">
            <v>19.491146778176937</v>
          </cell>
          <cell r="F33">
            <v>19.376653624718809</v>
          </cell>
          <cell r="G33">
            <v>19.267232580774476</v>
          </cell>
        </row>
        <row r="34">
          <cell r="B34">
            <v>8.897896178708562</v>
          </cell>
          <cell r="C34">
            <v>8.112118445267809</v>
          </cell>
          <cell r="D34">
            <v>7.956807597600605</v>
          </cell>
          <cell r="E34">
            <v>6.2113326120812493</v>
          </cell>
          <cell r="F34">
            <v>2.8689247089820089</v>
          </cell>
          <cell r="G34">
            <v>1.7187575306368655E-5</v>
          </cell>
        </row>
        <row r="35">
          <cell r="B35">
            <v>2.7300414454018789</v>
          </cell>
          <cell r="C35">
            <v>2.6150309475515354</v>
          </cell>
          <cell r="D35">
            <v>1.0937922935104583E-2</v>
          </cell>
          <cell r="E35">
            <v>6.5059693603128485E-4</v>
          </cell>
          <cell r="F35">
            <v>9.9382880200032117E-4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2.3091083101842166E-4</v>
          </cell>
          <cell r="E36">
            <v>0.21426676756255703</v>
          </cell>
          <cell r="F36">
            <v>0.2358147665425773</v>
          </cell>
          <cell r="G36">
            <v>0.23578015111592018</v>
          </cell>
        </row>
        <row r="37">
          <cell r="B37">
            <v>35.243022427293198</v>
          </cell>
          <cell r="C37">
            <v>29.764471600545164</v>
          </cell>
          <cell r="D37">
            <v>28.222673383661729</v>
          </cell>
          <cell r="E37">
            <v>19.621335078241643</v>
          </cell>
          <cell r="F37">
            <v>2.3006341436315489</v>
          </cell>
          <cell r="G37">
            <v>0.74327608866214967</v>
          </cell>
        </row>
        <row r="38">
          <cell r="B38">
            <v>0.30935351387739557</v>
          </cell>
          <cell r="C38">
            <v>6.8894156954185041E-4</v>
          </cell>
          <cell r="D38">
            <v>1.0872933985221229</v>
          </cell>
          <cell r="E38">
            <v>2.4236143431324835</v>
          </cell>
          <cell r="F38">
            <v>1.6139385627400598</v>
          </cell>
          <cell r="G38">
            <v>1.191296820292215</v>
          </cell>
        </row>
        <row r="39">
          <cell r="B39">
            <v>0.43680293390407765</v>
          </cell>
          <cell r="C39">
            <v>0.55208447861884991</v>
          </cell>
          <cell r="D39">
            <v>1.6569961487048186</v>
          </cell>
          <cell r="E39">
            <v>2.0881754422262904</v>
          </cell>
          <cell r="F39">
            <v>2.0883822462650889</v>
          </cell>
          <cell r="G39">
            <v>2.0884117568615412</v>
          </cell>
        </row>
        <row r="55">
          <cell r="B55">
            <v>9.8139615802201821</v>
          </cell>
          <cell r="C55">
            <v>10.335100451801139</v>
          </cell>
          <cell r="D55">
            <v>14.912016569247035</v>
          </cell>
          <cell r="E55">
            <v>14.912331128005246</v>
          </cell>
          <cell r="F55">
            <v>14.912327594154915</v>
          </cell>
          <cell r="G55">
            <v>14.912315861360817</v>
          </cell>
        </row>
        <row r="56">
          <cell r="B56">
            <v>1.1083003085439191</v>
          </cell>
          <cell r="C56">
            <v>1.4008464846282902</v>
          </cell>
          <cell r="D56">
            <v>1.6905488616166664</v>
          </cell>
          <cell r="E56">
            <v>5.8958488527047628</v>
          </cell>
          <cell r="F56">
            <v>5.8958564493975922</v>
          </cell>
          <cell r="G56">
            <v>5.8958670496703931</v>
          </cell>
        </row>
        <row r="57">
          <cell r="B57">
            <v>6.9177773355812509</v>
          </cell>
          <cell r="C57">
            <v>6.3170679480727214</v>
          </cell>
          <cell r="D57">
            <v>6.211316105817887</v>
          </cell>
          <cell r="E57">
            <v>5.0360692921579391</v>
          </cell>
          <cell r="F57">
            <v>2.4528673391934919</v>
          </cell>
          <cell r="G57">
            <v>0.18777212530312296</v>
          </cell>
        </row>
        <row r="58">
          <cell r="B58">
            <v>1.8458492722723452</v>
          </cell>
          <cell r="C58">
            <v>1.7757367649348701</v>
          </cell>
          <cell r="D58">
            <v>7.475386705960538E-3</v>
          </cell>
          <cell r="E58">
            <v>4.4939983356360997E-4</v>
          </cell>
          <cell r="F58">
            <v>7.010219912109766E-4</v>
          </cell>
          <cell r="G58">
            <v>0</v>
          </cell>
        </row>
        <row r="59">
          <cell r="B59">
            <v>28.619781060973448</v>
          </cell>
          <cell r="C59">
            <v>23.982026627313839</v>
          </cell>
          <cell r="D59">
            <v>23.634956733788528</v>
          </cell>
          <cell r="E59">
            <v>17.818991560442672</v>
          </cell>
          <cell r="F59">
            <v>3.2716793283418886</v>
          </cell>
          <cell r="G59">
            <v>1.6213612463933704</v>
          </cell>
        </row>
        <row r="60">
          <cell r="B60">
            <v>0</v>
          </cell>
          <cell r="C60">
            <v>0</v>
          </cell>
          <cell r="D60">
            <v>2.6397576494811868E-2</v>
          </cell>
          <cell r="E60">
            <v>1.1728462314761091E-2</v>
          </cell>
          <cell r="F60">
            <v>1.318119695290379E-2</v>
          </cell>
          <cell r="G60">
            <v>1.3184843693154216E-2</v>
          </cell>
        </row>
        <row r="61">
          <cell r="B61">
            <v>2.367456322124935</v>
          </cell>
          <cell r="C61">
            <v>2.3075150343395676</v>
          </cell>
          <cell r="D61">
            <v>2.148410411786752</v>
          </cell>
          <cell r="E61">
            <v>4.3438556552869643E-4</v>
          </cell>
          <cell r="F61">
            <v>6.8331425370401079E-4</v>
          </cell>
          <cell r="G61">
            <v>1.6378485727025812E-5</v>
          </cell>
        </row>
        <row r="62">
          <cell r="B62">
            <v>5.1850796986844703</v>
          </cell>
          <cell r="C62">
            <v>5.5675700102862704</v>
          </cell>
          <cell r="D62">
            <v>5.6657358945418919</v>
          </cell>
          <cell r="E62">
            <v>6.964634327949347</v>
          </cell>
          <cell r="F62">
            <v>7.9958190569052858</v>
          </cell>
          <cell r="G62">
            <v>11.865741893586454</v>
          </cell>
        </row>
        <row r="63">
          <cell r="B63">
            <v>6.5822970296946597</v>
          </cell>
          <cell r="C63">
            <v>7.0678545756143443</v>
          </cell>
          <cell r="D63">
            <v>6.8330336680462613</v>
          </cell>
          <cell r="E63">
            <v>7.209055832787481</v>
          </cell>
          <cell r="F63">
            <v>6.2967431184455966</v>
          </cell>
          <cell r="G63">
            <v>7.4716054712651792</v>
          </cell>
        </row>
        <row r="64">
          <cell r="B64">
            <v>5.3111818985650077</v>
          </cell>
          <cell r="C64">
            <v>6.2669700473221051</v>
          </cell>
          <cell r="D64">
            <v>5.7947338959079637</v>
          </cell>
          <cell r="E64">
            <v>6.7002007918438231</v>
          </cell>
          <cell r="F64">
            <v>6.5850568685397946</v>
          </cell>
          <cell r="G64">
            <v>5.4822214092260673</v>
          </cell>
        </row>
        <row r="65">
          <cell r="B65">
            <v>0.46154685364200382</v>
          </cell>
          <cell r="C65">
            <v>0.54458573935074583</v>
          </cell>
          <cell r="D65">
            <v>0.54470924689888378</v>
          </cell>
          <cell r="E65">
            <v>0.54474781208138556</v>
          </cell>
          <cell r="F65">
            <v>0.54477789346138306</v>
          </cell>
          <cell r="G65">
            <v>0.54478061647258103</v>
          </cell>
        </row>
        <row r="66">
          <cell r="B66">
            <v>4.1173931982380569</v>
          </cell>
          <cell r="C66">
            <v>4.2663697282865884</v>
          </cell>
          <cell r="D66">
            <v>2.9612733629666783</v>
          </cell>
          <cell r="E66">
            <v>3.1365761925957028</v>
          </cell>
          <cell r="F66">
            <v>3.1031997750854781</v>
          </cell>
          <cell r="G66">
            <v>1.4879024573294006E-4</v>
          </cell>
        </row>
        <row r="67">
          <cell r="B67">
            <v>6.7756660819850226E-2</v>
          </cell>
          <cell r="C67">
            <v>8.5517462591914242E-2</v>
          </cell>
          <cell r="D67">
            <v>8.5761572348039286E-2</v>
          </cell>
          <cell r="E67">
            <v>2.3297851568660062</v>
          </cell>
          <cell r="F67">
            <v>2.3214231209567906</v>
          </cell>
          <cell r="G67">
            <v>1.6632643607977544</v>
          </cell>
        </row>
        <row r="68">
          <cell r="B68">
            <v>0.31056688600579913</v>
          </cell>
          <cell r="C68">
            <v>0.39253206429800241</v>
          </cell>
          <cell r="D68">
            <v>1.1781242617291272</v>
          </cell>
          <cell r="E68">
            <v>1.4846927394228921</v>
          </cell>
          <cell r="F68">
            <v>1.4848397770944792</v>
          </cell>
          <cell r="G68">
            <v>1.5036564649403095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12.949414394482412</v>
          </cell>
          <cell r="G69">
            <v>17.393372641604888</v>
          </cell>
        </row>
        <row r="70">
          <cell r="B70">
            <v>0</v>
          </cell>
          <cell r="C70">
            <v>4.0437289773582883</v>
          </cell>
          <cell r="D70">
            <v>4.0437511868973139</v>
          </cell>
          <cell r="E70">
            <v>4.6361336320846025</v>
          </cell>
          <cell r="F70">
            <v>9.7188316644573955</v>
          </cell>
          <cell r="G70">
            <v>9.7188891896090812</v>
          </cell>
        </row>
        <row r="71">
          <cell r="B71">
            <v>72.708948105365934</v>
          </cell>
          <cell r="C71">
            <v>74.35342191619867</v>
          </cell>
          <cell r="D71">
            <v>75.738244734793781</v>
          </cell>
          <cell r="E71">
            <v>76.681679566655717</v>
          </cell>
          <cell r="F71">
            <v>77.547401913714339</v>
          </cell>
          <cell r="G71">
            <v>78.274198342654628</v>
          </cell>
        </row>
      </sheetData>
      <sheetData sheetId="45">
        <row r="3">
          <cell r="B3">
            <v>56.994774574912441</v>
          </cell>
          <cell r="C3">
            <v>58.701901593747301</v>
          </cell>
          <cell r="D3">
            <v>58.47072636371486</v>
          </cell>
          <cell r="E3">
            <v>55.201291735443988</v>
          </cell>
          <cell r="F3">
            <v>52.169225819880623</v>
          </cell>
          <cell r="G3">
            <v>48.253905893281527</v>
          </cell>
        </row>
        <row r="6">
          <cell r="B6">
            <v>0</v>
          </cell>
          <cell r="C6">
            <v>9.1177587742505857</v>
          </cell>
          <cell r="D6">
            <v>2.3226311208091936</v>
          </cell>
          <cell r="E6">
            <v>4.7028578451096079</v>
          </cell>
          <cell r="F6">
            <v>9.2063972692860148</v>
          </cell>
          <cell r="G6">
            <v>13.878506080759703</v>
          </cell>
        </row>
        <row r="11">
          <cell r="B11">
            <v>60.950118919004353</v>
          </cell>
          <cell r="C11">
            <v>60.34212787721966</v>
          </cell>
          <cell r="D11">
            <v>61.240957916114468</v>
          </cell>
          <cell r="E11">
            <v>58.364748485605759</v>
          </cell>
          <cell r="F11">
            <v>56.885023603520992</v>
          </cell>
          <cell r="G11">
            <v>53.165553619441908</v>
          </cell>
        </row>
        <row r="12">
          <cell r="B12">
            <v>30.256642003618616</v>
          </cell>
          <cell r="C12">
            <v>26.486041689440217</v>
          </cell>
          <cell r="D12">
            <v>25.536799521704435</v>
          </cell>
          <cell r="E12">
            <v>15.089925863761843</v>
          </cell>
          <cell r="F12">
            <v>5.2466701763773242</v>
          </cell>
          <cell r="G12">
            <v>1.6456276451234347E-5</v>
          </cell>
        </row>
        <row r="13">
          <cell r="B13">
            <v>0</v>
          </cell>
          <cell r="C13">
            <v>0</v>
          </cell>
          <cell r="D13">
            <v>2.2902683944084535E-4</v>
          </cell>
          <cell r="E13">
            <v>1.3871496819502474E-3</v>
          </cell>
          <cell r="F13">
            <v>2.3852326427182976E-3</v>
          </cell>
          <cell r="G13">
            <v>0.3939738089341942</v>
          </cell>
        </row>
        <row r="14">
          <cell r="B14">
            <v>25.262947781651143</v>
          </cell>
          <cell r="C14">
            <v>25.287996549541905</v>
          </cell>
          <cell r="D14">
            <v>23.108817953948328</v>
          </cell>
          <cell r="E14">
            <v>19.191867905167378</v>
          </cell>
          <cell r="F14">
            <v>9.6619997464918104</v>
          </cell>
          <cell r="G14">
            <v>4.8846538459467528</v>
          </cell>
        </row>
        <row r="15">
          <cell r="B15">
            <v>0.28575303552338521</v>
          </cell>
          <cell r="C15">
            <v>1.4617958985361768</v>
          </cell>
          <cell r="D15">
            <v>1.0353638770395373</v>
          </cell>
          <cell r="E15">
            <v>1.0580249528357675</v>
          </cell>
          <cell r="F15">
            <v>1.8773913637888908</v>
          </cell>
          <cell r="G15">
            <v>2.6676100316531324</v>
          </cell>
        </row>
        <row r="16">
          <cell r="B16">
            <v>1.4022974382400755</v>
          </cell>
          <cell r="C16">
            <v>1.5372484518820142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7.7269255300177813</v>
          </cell>
          <cell r="C17">
            <v>8.369725536268195</v>
          </cell>
          <cell r="D17">
            <v>5.92831792876978</v>
          </cell>
          <cell r="E17">
            <v>7.6023148085013244</v>
          </cell>
          <cell r="F17">
            <v>9.2777175046102229</v>
          </cell>
          <cell r="G17">
            <v>8.9957532273073646</v>
          </cell>
        </row>
        <row r="19">
          <cell r="B19">
            <v>0.62702142448565756</v>
          </cell>
          <cell r="C19">
            <v>0.68738203090990213</v>
          </cell>
          <cell r="D19">
            <v>0.56048958062033727</v>
          </cell>
          <cell r="E19">
            <v>0.61454900556605341</v>
          </cell>
          <cell r="F19">
            <v>0.75049685737993987</v>
          </cell>
          <cell r="G19">
            <v>0.79614448561164552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1.2192651964177438E-2</v>
          </cell>
          <cell r="F20">
            <v>1.4471677353665049E-2</v>
          </cell>
          <cell r="G20">
            <v>1.8016544509472988E-3</v>
          </cell>
        </row>
        <row r="21">
          <cell r="B21">
            <v>2.9296704015116966</v>
          </cell>
          <cell r="C21">
            <v>3.1924865799762232</v>
          </cell>
          <cell r="D21">
            <v>4.2028060770297468</v>
          </cell>
          <cell r="E21">
            <v>8.8741381714945611</v>
          </cell>
          <cell r="F21">
            <v>16.980312783846365</v>
          </cell>
          <cell r="G21">
            <v>19.786069468606062</v>
          </cell>
        </row>
        <row r="28">
          <cell r="B28">
            <v>3.9553443440919107</v>
          </cell>
          <cell r="C28">
            <v>1.6402262834723569</v>
          </cell>
          <cell r="D28">
            <v>2.7702315523996157</v>
          </cell>
          <cell r="E28">
            <v>3.1634567501617759</v>
          </cell>
          <cell r="F28">
            <v>4.7157977836403662</v>
          </cell>
          <cell r="G28">
            <v>4.9116477261603873</v>
          </cell>
        </row>
        <row r="47">
          <cell r="B47">
            <v>4.2613387658351947</v>
          </cell>
          <cell r="C47">
            <v>4.6177038031798947</v>
          </cell>
          <cell r="D47">
            <v>4.7061089620354268</v>
          </cell>
          <cell r="E47">
            <v>8.0293946293717902</v>
          </cell>
          <cell r="F47">
            <v>15.308631442083326</v>
          </cell>
          <cell r="G47">
            <v>17.824437099783388</v>
          </cell>
        </row>
        <row r="48">
          <cell r="B48">
            <v>24.843076154931914</v>
          </cell>
          <cell r="C48">
            <v>21.790181162769422</v>
          </cell>
          <cell r="D48">
            <v>20.213420236093356</v>
          </cell>
          <cell r="E48">
            <v>12.357040505654568</v>
          </cell>
          <cell r="F48">
            <v>4.2980216663655613</v>
          </cell>
          <cell r="G48">
            <v>0.32260636710036295</v>
          </cell>
        </row>
        <row r="49">
          <cell r="B49">
            <v>24.189727369452513</v>
          </cell>
          <cell r="C49">
            <v>25.326931147648423</v>
          </cell>
          <cell r="D49">
            <v>19.52779915920188</v>
          </cell>
          <cell r="E49">
            <v>14.650133280815719</v>
          </cell>
          <cell r="F49">
            <v>5.3679721596214955</v>
          </cell>
          <cell r="G49">
            <v>2.1500194880133003</v>
          </cell>
        </row>
        <row r="50">
          <cell r="B50">
            <v>0</v>
          </cell>
          <cell r="C50">
            <v>0</v>
          </cell>
          <cell r="D50">
            <v>2.4215492468521922</v>
          </cell>
          <cell r="E50">
            <v>6.7546813375665096</v>
          </cell>
          <cell r="F50">
            <v>11.316962156018121</v>
          </cell>
          <cell r="G50">
            <v>11.648017138787944</v>
          </cell>
        </row>
        <row r="51">
          <cell r="B51">
            <v>2.0957412870490346</v>
          </cell>
          <cell r="C51">
            <v>2.2700859128311639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5.5539149876685663</v>
          </cell>
          <cell r="C52">
            <v>6.015942368074354</v>
          </cell>
          <cell r="D52">
            <v>4.8686410392726991</v>
          </cell>
          <cell r="E52">
            <v>6.2703150706273947</v>
          </cell>
          <cell r="F52">
            <v>7.6521708657904375</v>
          </cell>
          <cell r="G52">
            <v>7.4196094812798092</v>
          </cell>
        </row>
        <row r="53">
          <cell r="B53">
            <v>6.173556207459117</v>
          </cell>
          <cell r="C53">
            <v>5.0514960962781865</v>
          </cell>
          <cell r="D53">
            <v>7.1142201658759747</v>
          </cell>
          <cell r="E53">
            <v>6.789672862975773</v>
          </cell>
          <cell r="F53">
            <v>5.0791109759935136</v>
          </cell>
          <cell r="G53">
            <v>3.5070307934725204</v>
          </cell>
        </row>
        <row r="54">
          <cell r="B54">
            <v>1.8770847356043596</v>
          </cell>
          <cell r="C54">
            <v>2.1600929253047449</v>
          </cell>
          <cell r="D54">
            <v>0.3783118770640318</v>
          </cell>
          <cell r="E54">
            <v>0.48317692086810543</v>
          </cell>
          <cell r="F54">
            <v>0.72702472074804825</v>
          </cell>
          <cell r="G54">
            <v>0.73139638269459206</v>
          </cell>
        </row>
        <row r="55">
          <cell r="B55">
            <v>0.62702142448565756</v>
          </cell>
          <cell r="C55">
            <v>0.68738203090990213</v>
          </cell>
          <cell r="D55">
            <v>0.56048958062033727</v>
          </cell>
          <cell r="E55">
            <v>0.61454900556605341</v>
          </cell>
          <cell r="F55">
            <v>0.75049685737993987</v>
          </cell>
          <cell r="G55">
            <v>0.79614448561164552</v>
          </cell>
        </row>
        <row r="56">
          <cell r="B56">
            <v>1.2230838256329923</v>
          </cell>
          <cell r="C56">
            <v>1.3407880997314916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9.1177587742505857</v>
          </cell>
          <cell r="D58">
            <v>2.3226311208091936</v>
          </cell>
          <cell r="E58">
            <v>4.7028578451096079</v>
          </cell>
          <cell r="F58">
            <v>9.2063972692860148</v>
          </cell>
          <cell r="G58">
            <v>13.878506080759703</v>
          </cell>
        </row>
        <row r="59">
          <cell r="B59">
            <v>73.238649089658026</v>
          </cell>
          <cell r="C59">
            <v>78.575095611124027</v>
          </cell>
          <cell r="D59">
            <v>62.634833245909107</v>
          </cell>
          <cell r="E59">
            <v>60.956247079435578</v>
          </cell>
          <cell r="F59">
            <v>59.926187093325723</v>
          </cell>
          <cell r="G59">
            <v>58.436236760858591</v>
          </cell>
        </row>
      </sheetData>
      <sheetData sheetId="46">
        <row r="3">
          <cell r="B3">
            <v>44.57691135382418</v>
          </cell>
          <cell r="C3">
            <v>44.86119076897927</v>
          </cell>
          <cell r="D3">
            <v>49.523420446216242</v>
          </cell>
          <cell r="E3">
            <v>46.920067991596071</v>
          </cell>
          <cell r="F3">
            <v>44.39502000949733</v>
          </cell>
          <cell r="G3">
            <v>40.79589914609106</v>
          </cell>
        </row>
        <row r="10">
          <cell r="B10">
            <v>0.10805307865753425</v>
          </cell>
          <cell r="C10">
            <v>6.1958271913796992</v>
          </cell>
          <cell r="D10">
            <v>5.136532162595441</v>
          </cell>
          <cell r="E10">
            <v>10.527695991345459</v>
          </cell>
          <cell r="F10">
            <v>20.11948413402601</v>
          </cell>
          <cell r="G10">
            <v>29.854173678147088</v>
          </cell>
        </row>
        <row r="15">
          <cell r="B15">
            <v>69.470325442269058</v>
          </cell>
          <cell r="C15">
            <v>70.026949982111944</v>
          </cell>
          <cell r="D15">
            <v>69.79674622408892</v>
          </cell>
          <cell r="E15">
            <v>67.617290270833863</v>
          </cell>
          <cell r="F15">
            <v>67.514908381164588</v>
          </cell>
          <cell r="G15">
            <v>62.393339784830282</v>
          </cell>
        </row>
        <row r="16">
          <cell r="B16">
            <v>60.231959065270885</v>
          </cell>
          <cell r="C16">
            <v>51.320137814571922</v>
          </cell>
          <cell r="D16">
            <v>48.321396912318065</v>
          </cell>
          <cell r="E16">
            <v>23.533576541326074</v>
          </cell>
          <cell r="F16">
            <v>5.6629630733661704</v>
          </cell>
          <cell r="G16">
            <v>2.0301765682976753E-5</v>
          </cell>
        </row>
        <row r="17">
          <cell r="B17">
            <v>0</v>
          </cell>
          <cell r="C17">
            <v>0</v>
          </cell>
          <cell r="D17">
            <v>2.2918635681841556E-4</v>
          </cell>
          <cell r="E17">
            <v>1.3969165653002797E-3</v>
          </cell>
          <cell r="F17">
            <v>2.4009636536288796E-3</v>
          </cell>
          <cell r="G17">
            <v>0.48483934775440662</v>
          </cell>
        </row>
        <row r="18">
          <cell r="B18">
            <v>46.694895609708929</v>
          </cell>
          <cell r="C18">
            <v>46.363178628141306</v>
          </cell>
          <cell r="D18">
            <v>46.087043966979572</v>
          </cell>
          <cell r="E18">
            <v>37.869024253319076</v>
          </cell>
          <cell r="F18">
            <v>18.896593117190193</v>
          </cell>
          <cell r="G18">
            <v>11.477865481650362</v>
          </cell>
        </row>
        <row r="19">
          <cell r="B19">
            <v>0.30710142247133848</v>
          </cell>
          <cell r="C19">
            <v>1.8738301069122942</v>
          </cell>
          <cell r="D19">
            <v>1.285519615885452</v>
          </cell>
          <cell r="E19">
            <v>1.5323440251625062</v>
          </cell>
          <cell r="F19">
            <v>3.6047864722580871</v>
          </cell>
          <cell r="G19">
            <v>4.0881064966806946</v>
          </cell>
        </row>
        <row r="20">
          <cell r="B20">
            <v>0.10001563565695698</v>
          </cell>
          <cell r="C20">
            <v>0.10000665723681604</v>
          </cell>
          <cell r="D20">
            <v>2.6957107617620768E-2</v>
          </cell>
          <cell r="E20">
            <v>2.2835241057890516E-4</v>
          </cell>
          <cell r="F20">
            <v>0</v>
          </cell>
          <cell r="G20">
            <v>0</v>
          </cell>
        </row>
        <row r="21">
          <cell r="B21">
            <v>8.368318849190981</v>
          </cell>
          <cell r="C21">
            <v>9.6897753104578292</v>
          </cell>
          <cell r="D21">
            <v>8.3664787117531461</v>
          </cell>
          <cell r="E21">
            <v>11.028243793367974</v>
          </cell>
          <cell r="F21">
            <v>12.83997264548146</v>
          </cell>
          <cell r="G21">
            <v>12.533804809548286</v>
          </cell>
        </row>
        <row r="22">
          <cell r="B22">
            <v>16.991415074851172</v>
          </cell>
          <cell r="C22">
            <v>19.611788865936262</v>
          </cell>
          <cell r="D22">
            <v>18.480911861794436</v>
          </cell>
          <cell r="E22">
            <v>16.555191551278774</v>
          </cell>
          <cell r="F22">
            <v>12.101972071658961</v>
          </cell>
          <cell r="G22">
            <v>7.6846344847023689</v>
          </cell>
        </row>
        <row r="23">
          <cell r="B23">
            <v>2.5068506652632339</v>
          </cell>
          <cell r="C23">
            <v>2.9282299219216261</v>
          </cell>
          <cell r="D23">
            <v>0.96261824349488545</v>
          </cell>
          <cell r="E23">
            <v>1.0961730971889703</v>
          </cell>
          <cell r="F23">
            <v>1.2527841491354947</v>
          </cell>
          <cell r="G23">
            <v>1.2574520759412438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1.3779560274559953E-2</v>
          </cell>
          <cell r="F24">
            <v>3.5227841949034396E-2</v>
          </cell>
          <cell r="G24">
            <v>5.0682911209071445E-3</v>
          </cell>
        </row>
        <row r="25">
          <cell r="B25">
            <v>15.195126313433748</v>
          </cell>
          <cell r="C25">
            <v>17.637485756201272</v>
          </cell>
          <cell r="D25">
            <v>26.446668329702273</v>
          </cell>
          <cell r="E25">
            <v>41.290570712736042</v>
          </cell>
          <cell r="F25">
            <v>60.191491520868318</v>
          </cell>
          <cell r="G25">
            <v>64.596345718852291</v>
          </cell>
        </row>
        <row r="26">
          <cell r="B26">
            <v>219.86600807811632</v>
          </cell>
          <cell r="C26">
            <v>219.55138304349126</v>
          </cell>
          <cell r="D26">
            <v>219.77457015999119</v>
          </cell>
          <cell r="E26">
            <v>200.5378190744637</v>
          </cell>
          <cell r="F26">
            <v>182.10310023672594</v>
          </cell>
          <cell r="G26">
            <v>164.52147679284653</v>
          </cell>
        </row>
        <row r="102">
          <cell r="B102">
            <v>8.9081386430517853</v>
          </cell>
          <cell r="C102">
            <v>7.8808317343581846</v>
          </cell>
          <cell r="D102">
            <v>0.8278878091428985</v>
          </cell>
          <cell r="E102">
            <v>0.20827760367388407</v>
          </cell>
          <cell r="F102">
            <v>1.7192824319105231E-2</v>
          </cell>
          <cell r="G102">
            <v>1.5138536415686734E-2</v>
          </cell>
        </row>
        <row r="104">
          <cell r="B104">
            <v>19.060482704589887</v>
          </cell>
          <cell r="C104">
            <v>22.073229493892267</v>
          </cell>
          <cell r="D104">
            <v>31.85878204766048</v>
          </cell>
          <cell r="E104">
            <v>41.496541079169305</v>
          </cell>
          <cell r="F104">
            <v>53.380204037098054</v>
          </cell>
          <cell r="G104">
            <v>53.374552737391042</v>
          </cell>
        </row>
        <row r="105">
          <cell r="B105">
            <v>45.124479606985958</v>
          </cell>
          <cell r="C105">
            <v>38.695152801018757</v>
          </cell>
          <cell r="D105">
            <v>33.737452915784488</v>
          </cell>
          <cell r="E105">
            <v>17.101461625495258</v>
          </cell>
          <cell r="F105">
            <v>3.8014954068930917</v>
          </cell>
          <cell r="G105">
            <v>0.31723385164812912</v>
          </cell>
        </row>
        <row r="106">
          <cell r="B106">
            <v>36.569960483868471</v>
          </cell>
          <cell r="C106">
            <v>39.174269238456525</v>
          </cell>
          <cell r="D106">
            <v>31.90818966022227</v>
          </cell>
          <cell r="E106">
            <v>22.90247082351426</v>
          </cell>
          <cell r="F106">
            <v>6.5381634640291058</v>
          </cell>
          <cell r="G106">
            <v>2.6519717208926767</v>
          </cell>
        </row>
        <row r="107">
          <cell r="B107">
            <v>0</v>
          </cell>
          <cell r="C107">
            <v>0</v>
          </cell>
          <cell r="D107">
            <v>5.2402822727228813</v>
          </cell>
          <cell r="E107">
            <v>14.087870244930711</v>
          </cell>
          <cell r="F107">
            <v>21.041721480698488</v>
          </cell>
          <cell r="G107">
            <v>19.643743200064243</v>
          </cell>
        </row>
        <row r="108">
          <cell r="B108">
            <v>7.2011257673008991E-2</v>
          </cell>
          <cell r="C108">
            <v>7.2004793210507567E-2</v>
          </cell>
          <cell r="D108">
            <v>2.1546834228583642E-2</v>
          </cell>
          <cell r="E108">
            <v>1.8268192846312406E-4</v>
          </cell>
          <cell r="F108">
            <v>0</v>
          </cell>
          <cell r="G108">
            <v>0</v>
          </cell>
        </row>
        <row r="109">
          <cell r="B109">
            <v>8.1909785536110724E-2</v>
          </cell>
          <cell r="C109">
            <v>2.3119485023108201E-2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>
            <v>6.5093189866047707</v>
          </cell>
          <cell r="C110">
            <v>7.6931415499996234</v>
          </cell>
          <cell r="D110">
            <v>5.8951834103884888</v>
          </cell>
          <cell r="E110">
            <v>7.5287098215886257</v>
          </cell>
          <cell r="F110">
            <v>8.4115074501669476</v>
          </cell>
          <cell r="G110">
            <v>7.89238783101022</v>
          </cell>
        </row>
        <row r="111">
          <cell r="B111">
            <v>9.1311121896562319</v>
          </cell>
          <cell r="C111">
            <v>10.5013574379118</v>
          </cell>
          <cell r="D111">
            <v>10.81016464198791</v>
          </cell>
          <cell r="E111">
            <v>9.4953759493218115</v>
          </cell>
          <cell r="F111">
            <v>6.538321201873309</v>
          </cell>
          <cell r="G111">
            <v>3.9234335003500673</v>
          </cell>
        </row>
        <row r="112">
          <cell r="B112">
            <v>2.6969343537772779</v>
          </cell>
          <cell r="C112">
            <v>3.1682570107091674</v>
          </cell>
          <cell r="D112">
            <v>0.34941240254957884</v>
          </cell>
          <cell r="E112">
            <v>0.41734004534481067</v>
          </cell>
          <cell r="F112">
            <v>0.4516322260262372</v>
          </cell>
          <cell r="G112">
            <v>0.37838916135343137</v>
          </cell>
        </row>
        <row r="113">
          <cell r="B113">
            <v>0.78536264060338268</v>
          </cell>
          <cell r="C113">
            <v>0.94141784725438427</v>
          </cell>
          <cell r="D113">
            <v>3.1447874708470207E-2</v>
          </cell>
          <cell r="E113">
            <v>3.4855447355420392E-2</v>
          </cell>
          <cell r="F113">
            <v>3.3265554448667745E-2</v>
          </cell>
          <cell r="G113">
            <v>2.9714761933524198E-2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6">
          <cell r="B116">
            <v>129.04776373100444</v>
          </cell>
          <cell r="C116">
            <v>136.41860858321402</v>
          </cell>
          <cell r="D116">
            <v>125.8168820319915</v>
          </cell>
          <cell r="E116">
            <v>123.80078131366801</v>
          </cell>
          <cell r="F116">
            <v>120.332987779579</v>
          </cell>
          <cell r="G116">
            <v>118.0807389792061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B224">
            <v>26.978606875996675</v>
          </cell>
          <cell r="C224">
            <v>25.931626412041723</v>
          </cell>
          <cell r="D224">
            <v>21.669285927751741</v>
          </cell>
          <cell r="E224">
            <v>22.092487821811428</v>
          </cell>
          <cell r="F224">
            <v>26.684811085277349</v>
          </cell>
          <cell r="G224">
            <v>28.416337073464987</v>
          </cell>
        </row>
        <row r="231">
          <cell r="B231">
            <v>15.55290738531551</v>
          </cell>
          <cell r="C231">
            <v>14.849553587990441</v>
          </cell>
          <cell r="D231">
            <v>3.6497676687901239</v>
          </cell>
          <cell r="E231">
            <v>2.2215617572149005</v>
          </cell>
          <cell r="F231">
            <v>1.7437537930715179</v>
          </cell>
          <cell r="G231">
            <v>1.5703299738659882</v>
          </cell>
        </row>
        <row r="233">
          <cell r="B233">
            <v>22.300452682809407</v>
          </cell>
          <cell r="C233">
            <v>25.708741388044299</v>
          </cell>
          <cell r="D233">
            <v>36.77052060072279</v>
          </cell>
          <cell r="E233">
            <v>48.883647244698508</v>
          </cell>
          <cell r="F233">
            <v>65.595838460771844</v>
          </cell>
          <cell r="G233">
            <v>68.221270306653295</v>
          </cell>
        </row>
        <row r="234">
          <cell r="B234">
            <v>52.108962860292642</v>
          </cell>
          <cell r="C234">
            <v>44.501534434310848</v>
          </cell>
          <cell r="D234">
            <v>38.162145556002997</v>
          </cell>
          <cell r="E234">
            <v>19.181012377684059</v>
          </cell>
          <cell r="F234">
            <v>4.5303140975983238</v>
          </cell>
          <cell r="G234">
            <v>0.38907473476375332</v>
          </cell>
        </row>
        <row r="235">
          <cell r="B235">
            <v>42.950436823370694</v>
          </cell>
          <cell r="C235">
            <v>44.452974871217236</v>
          </cell>
          <cell r="D235">
            <v>37.131583312829981</v>
          </cell>
          <cell r="E235">
            <v>26.339220548912664</v>
          </cell>
          <cell r="F235">
            <v>8.0072768845700555</v>
          </cell>
          <cell r="G235">
            <v>3.3517637293750315</v>
          </cell>
        </row>
        <row r="236">
          <cell r="B236">
            <v>0</v>
          </cell>
          <cell r="C236">
            <v>0</v>
          </cell>
          <cell r="D236">
            <v>6.3450211068186864</v>
          </cell>
          <cell r="E236">
            <v>17.439265707571355</v>
          </cell>
          <cell r="F236">
            <v>27.192135465909452</v>
          </cell>
          <cell r="G236">
            <v>26.482895480983583</v>
          </cell>
        </row>
        <row r="238">
          <cell r="B238">
            <v>9.8277432753949179E-2</v>
          </cell>
          <cell r="C238">
            <v>2.7504073987851943E-2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>
            <v>7.8100455860432998</v>
          </cell>
          <cell r="C239">
            <v>9.1521387340037261</v>
          </cell>
          <cell r="D239">
            <v>6.8488289160249831</v>
          </cell>
          <cell r="E239">
            <v>8.9847100411887766</v>
          </cell>
          <cell r="F239">
            <v>10.385374202755198</v>
          </cell>
          <cell r="G239">
            <v>10.078905031783473</v>
          </cell>
        </row>
        <row r="240">
          <cell r="B240">
            <v>9.6516097366543736</v>
          </cell>
          <cell r="C240">
            <v>11.0986228224257</v>
          </cell>
          <cell r="D240">
            <v>12.031285105052126</v>
          </cell>
          <cell r="E240">
            <v>10.699182083516773</v>
          </cell>
          <cell r="F240">
            <v>7.6059550011418171</v>
          </cell>
          <cell r="G240">
            <v>4.7777995790886871</v>
          </cell>
        </row>
        <row r="241">
          <cell r="B241">
            <v>2.8667630981674419</v>
          </cell>
          <cell r="C241">
            <v>3.3631031767638135</v>
          </cell>
          <cell r="D241">
            <v>0.42631845318262862</v>
          </cell>
          <cell r="E241">
            <v>0.52061760422950609</v>
          </cell>
          <cell r="F241">
            <v>0.58488267587665921</v>
          </cell>
          <cell r="G241">
            <v>0.51341146206895272</v>
          </cell>
        </row>
        <row r="242">
          <cell r="B242">
            <v>2.5068506652632339</v>
          </cell>
          <cell r="C242">
            <v>2.9282299219216261</v>
          </cell>
          <cell r="D242">
            <v>0.96261824349488545</v>
          </cell>
          <cell r="E242">
            <v>1.0961730971889703</v>
          </cell>
          <cell r="F242">
            <v>1.2527841491354947</v>
          </cell>
          <cell r="G242">
            <v>1.2574520759412438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0.10805307865753425</v>
          </cell>
          <cell r="C244">
            <v>6.1958271913796992</v>
          </cell>
          <cell r="D244">
            <v>5.136532162595441</v>
          </cell>
          <cell r="E244">
            <v>10.527695991345459</v>
          </cell>
          <cell r="F244">
            <v>20.11948413402601</v>
          </cell>
          <cell r="G244">
            <v>29.854173678147088</v>
          </cell>
        </row>
        <row r="245">
          <cell r="B245">
            <v>156.0263706070011</v>
          </cell>
          <cell r="C245">
            <v>162.35023499525573</v>
          </cell>
          <cell r="D245">
            <v>147.48616795974323</v>
          </cell>
          <cell r="E245">
            <v>145.89326913547941</v>
          </cell>
          <cell r="F245">
            <v>147.01779886485639</v>
          </cell>
          <cell r="G245">
            <v>146.49707605267113</v>
          </cell>
        </row>
      </sheetData>
      <sheetData sheetId="47">
        <row r="21">
          <cell r="B21">
            <v>77.312958315073573</v>
          </cell>
          <cell r="C21">
            <v>75.352706759045347</v>
          </cell>
          <cell r="D21">
            <v>71.868865630252529</v>
          </cell>
          <cell r="E21">
            <v>37.65242594272911</v>
          </cell>
          <cell r="F21">
            <v>3.342103883884791</v>
          </cell>
          <cell r="G21">
            <v>0.52379649262636163</v>
          </cell>
        </row>
        <row r="22">
          <cell r="B22">
            <v>119.85984292702868</v>
          </cell>
          <cell r="C22">
            <v>111.02994955975512</v>
          </cell>
          <cell r="D22">
            <v>95.060427899865402</v>
          </cell>
          <cell r="E22">
            <v>54.683387471716152</v>
          </cell>
          <cell r="F22">
            <v>20.155339259478797</v>
          </cell>
          <cell r="G22">
            <v>8.5864324680229167</v>
          </cell>
        </row>
        <row r="24">
          <cell r="B24">
            <v>0.27754987020860689</v>
          </cell>
          <cell r="C24">
            <v>0.17978979945736234</v>
          </cell>
          <cell r="D24">
            <v>0.24211821172008899</v>
          </cell>
          <cell r="E24">
            <v>1.4223499928770774E-2</v>
          </cell>
          <cell r="F24">
            <v>6.5574217311708521E-3</v>
          </cell>
          <cell r="G24">
            <v>5.2586933862599171E-4</v>
          </cell>
        </row>
        <row r="25">
          <cell r="B25">
            <v>4.4772243800867209</v>
          </cell>
          <cell r="C25">
            <v>4.3639187243428639</v>
          </cell>
          <cell r="D25">
            <v>4.1622097935831963</v>
          </cell>
          <cell r="E25">
            <v>4.7106177684858359</v>
          </cell>
          <cell r="F25">
            <v>4.0286818437073917</v>
          </cell>
          <cell r="G25">
            <v>9.0813966279718328E-2</v>
          </cell>
        </row>
        <row r="26">
          <cell r="B26">
            <v>2.9709563469350053</v>
          </cell>
          <cell r="C26">
            <v>2.9711619991631779</v>
          </cell>
          <cell r="D26">
            <v>4.4616620512363996</v>
          </cell>
          <cell r="E26">
            <v>2.978432666943359</v>
          </cell>
          <cell r="F26">
            <v>3.4924545215946936</v>
          </cell>
          <cell r="G26">
            <v>8.1659252821354222</v>
          </cell>
        </row>
        <row r="27">
          <cell r="B27">
            <v>2.2900021995836736E-2</v>
          </cell>
          <cell r="C27">
            <v>1.9156938647408337E-2</v>
          </cell>
          <cell r="D27">
            <v>2.519022948024752E-2</v>
          </cell>
          <cell r="E27">
            <v>2.8284006683128664E-3</v>
          </cell>
          <cell r="F27">
            <v>2.5110739791748609E-3</v>
          </cell>
          <cell r="G27">
            <v>5.1113211755599399E-4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0.49167157379897358</v>
          </cell>
          <cell r="F32">
            <v>3.0595746532849528</v>
          </cell>
          <cell r="G32">
            <v>8.5185092376245102</v>
          </cell>
        </row>
      </sheetData>
      <sheetData sheetId="48"/>
      <sheetData sheetId="49"/>
      <sheetData sheetId="50">
        <row r="53">
          <cell r="B53">
            <v>2.6085752809837341</v>
          </cell>
          <cell r="C53">
            <v>2.4303052200214097</v>
          </cell>
          <cell r="D53">
            <v>2.3647843196283933</v>
          </cell>
          <cell r="E53">
            <v>2.3672456858842539</v>
          </cell>
          <cell r="F53">
            <v>2.4699229692449323</v>
          </cell>
          <cell r="G53">
            <v>2.5529544563668547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>
            <v>6.4943534197379886</v>
          </cell>
          <cell r="C55">
            <v>6.1043455526492787</v>
          </cell>
          <cell r="D55">
            <v>5.6311370843430071</v>
          </cell>
          <cell r="E55">
            <v>4.8052288415372093</v>
          </cell>
          <cell r="F55">
            <v>3.5624941962745065</v>
          </cell>
          <cell r="G55">
            <v>3.2373117182266293</v>
          </cell>
        </row>
        <row r="56">
          <cell r="B56">
            <v>3.7924329103060801</v>
          </cell>
          <cell r="C56">
            <v>3.5090257957125499</v>
          </cell>
          <cell r="D56">
            <v>3.2235978323894194</v>
          </cell>
          <cell r="E56">
            <v>2.2178826099308599</v>
          </cell>
          <cell r="F56">
            <v>0.94087512164365195</v>
          </cell>
          <cell r="G56">
            <v>0.27646067697470811</v>
          </cell>
        </row>
        <row r="57">
          <cell r="B57">
            <v>7.1803360002098398</v>
          </cell>
          <cell r="C57">
            <v>6.4815479040186128</v>
          </cell>
          <cell r="D57">
            <v>6.2406368889827037</v>
          </cell>
          <cell r="E57">
            <v>3.9096574208096206</v>
          </cell>
          <cell r="F57">
            <v>1.497940116659948</v>
          </cell>
          <cell r="G57">
            <v>0.6496470824531223</v>
          </cell>
        </row>
        <row r="58">
          <cell r="B58">
            <v>14.686313204859742</v>
          </cell>
          <cell r="C58">
            <v>13.96304321010467</v>
          </cell>
          <cell r="D58">
            <v>12.602740505476046</v>
          </cell>
          <cell r="E58">
            <v>7.0761891996827178</v>
          </cell>
          <cell r="F58">
            <v>1.9037616235838652</v>
          </cell>
          <cell r="G58">
            <v>0.6780373505122399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-0.86739061498178016</v>
          </cell>
          <cell r="G59">
            <v>-2.6529696194598373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-0.61970613270937103</v>
          </cell>
          <cell r="G60">
            <v>-3.036071732293065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-0.97135317400658494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-4.996272996202945E-4</v>
          </cell>
          <cell r="G62">
            <v>-0.70311929117764282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-1.4962731328082562E-5</v>
          </cell>
          <cell r="G63">
            <v>-3.0911494579844427E-2</v>
          </cell>
        </row>
        <row r="77">
          <cell r="B77">
            <v>0.83334759330272712</v>
          </cell>
          <cell r="C77">
            <v>3.4615439803128423</v>
          </cell>
        </row>
        <row r="78">
          <cell r="B78">
            <v>0.65419287245644442</v>
          </cell>
          <cell r="C78">
            <v>1.6908374607233083</v>
          </cell>
        </row>
        <row r="79">
          <cell r="B79">
            <v>0</v>
          </cell>
          <cell r="C79">
            <v>2.2419482335073644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dimension ref="B2:E98"/>
  <sheetViews>
    <sheetView showGridLines="0" topLeftCell="A73" workbookViewId="0">
      <selection activeCell="B88" sqref="B88:E98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1092</v>
      </c>
      <c r="C45" t="s">
        <v>1126</v>
      </c>
      <c r="D45" t="s">
        <v>240</v>
      </c>
    </row>
    <row r="46" spans="2:5" x14ac:dyDescent="0.35">
      <c r="B46" t="s">
        <v>1237</v>
      </c>
      <c r="C46" t="s">
        <v>1127</v>
      </c>
      <c r="D46" t="s">
        <v>8</v>
      </c>
      <c r="E46" t="s">
        <v>1128</v>
      </c>
    </row>
    <row r="47" spans="2:5" x14ac:dyDescent="0.35">
      <c r="B47" t="s">
        <v>1129</v>
      </c>
      <c r="C47" t="s">
        <v>1130</v>
      </c>
      <c r="D47" t="s">
        <v>1132</v>
      </c>
    </row>
    <row r="48" spans="2:5" x14ac:dyDescent="0.35">
      <c r="B48" t="s">
        <v>1131</v>
      </c>
      <c r="C48" t="s">
        <v>1231</v>
      </c>
      <c r="D48" t="s">
        <v>1230</v>
      </c>
      <c r="E48" t="s">
        <v>1232</v>
      </c>
    </row>
    <row r="49" spans="2:5" x14ac:dyDescent="0.35">
      <c r="B49" t="s">
        <v>1305</v>
      </c>
      <c r="C49" t="s">
        <v>1306</v>
      </c>
      <c r="D49" t="s">
        <v>8</v>
      </c>
    </row>
    <row r="50" spans="2:5" x14ac:dyDescent="0.35">
      <c r="B50" t="s">
        <v>1349</v>
      </c>
      <c r="C50" t="s">
        <v>1533</v>
      </c>
      <c r="D50" t="s">
        <v>1132</v>
      </c>
      <c r="E50" t="s">
        <v>1232</v>
      </c>
    </row>
    <row r="51" spans="2:5" x14ac:dyDescent="0.35">
      <c r="B51" t="s">
        <v>1371</v>
      </c>
      <c r="C51" t="s">
        <v>1472</v>
      </c>
      <c r="D51" t="s">
        <v>1230</v>
      </c>
    </row>
    <row r="52" spans="2:5" x14ac:dyDescent="0.35">
      <c r="B52" t="s">
        <v>1395</v>
      </c>
      <c r="C52" t="s">
        <v>1395</v>
      </c>
      <c r="D52" t="s">
        <v>8</v>
      </c>
    </row>
    <row r="53" spans="2:5" x14ac:dyDescent="0.35">
      <c r="B53" t="s">
        <v>1393</v>
      </c>
      <c r="C53" t="s">
        <v>1532</v>
      </c>
      <c r="D53" t="s">
        <v>1132</v>
      </c>
      <c r="E53" t="s">
        <v>1232</v>
      </c>
    </row>
    <row r="54" spans="2:5" x14ac:dyDescent="0.35">
      <c r="B54" t="s">
        <v>1394</v>
      </c>
      <c r="C54" t="s">
        <v>1471</v>
      </c>
      <c r="D54" t="s">
        <v>1230</v>
      </c>
    </row>
    <row r="55" spans="2:5" x14ac:dyDescent="0.35">
      <c r="B55" t="s">
        <v>1474</v>
      </c>
      <c r="C55" t="s">
        <v>1474</v>
      </c>
      <c r="D55" t="s">
        <v>8</v>
      </c>
    </row>
    <row r="56" spans="2:5" x14ac:dyDescent="0.35">
      <c r="B56" t="s">
        <v>1479</v>
      </c>
      <c r="C56" t="s">
        <v>1531</v>
      </c>
      <c r="D56" t="s">
        <v>1132</v>
      </c>
    </row>
    <row r="57" spans="2:5" x14ac:dyDescent="0.35">
      <c r="B57" t="s">
        <v>1481</v>
      </c>
      <c r="C57" t="s">
        <v>1487</v>
      </c>
      <c r="D57" t="s">
        <v>1230</v>
      </c>
    </row>
    <row r="58" spans="2:5" x14ac:dyDescent="0.35">
      <c r="B58" t="s">
        <v>1473</v>
      </c>
      <c r="C58" t="s">
        <v>1473</v>
      </c>
      <c r="D58" t="s">
        <v>8</v>
      </c>
    </row>
    <row r="59" spans="2:5" x14ac:dyDescent="0.35">
      <c r="B59" t="s">
        <v>1483</v>
      </c>
      <c r="C59" t="s">
        <v>1530</v>
      </c>
      <c r="D59" t="s">
        <v>1132</v>
      </c>
    </row>
    <row r="60" spans="2:5" x14ac:dyDescent="0.35">
      <c r="B60" t="s">
        <v>1485</v>
      </c>
      <c r="C60" t="s">
        <v>1535</v>
      </c>
      <c r="D60" t="s">
        <v>1230</v>
      </c>
    </row>
    <row r="61" spans="2:5" x14ac:dyDescent="0.35">
      <c r="B61" t="s">
        <v>1488</v>
      </c>
      <c r="C61" t="s">
        <v>1529</v>
      </c>
      <c r="D61" t="s">
        <v>8</v>
      </c>
    </row>
    <row r="62" spans="2:5" x14ac:dyDescent="0.35">
      <c r="B62" t="s">
        <v>1504</v>
      </c>
      <c r="C62" t="s">
        <v>1596</v>
      </c>
      <c r="D62" t="s">
        <v>1132</v>
      </c>
    </row>
    <row r="63" spans="2:5" x14ac:dyDescent="0.35">
      <c r="B63" t="s">
        <v>1519</v>
      </c>
      <c r="C63" t="s">
        <v>1534</v>
      </c>
      <c r="D63" t="s">
        <v>1230</v>
      </c>
    </row>
    <row r="64" spans="2:5" x14ac:dyDescent="0.35">
      <c r="B64" t="s">
        <v>1644</v>
      </c>
      <c r="C64" t="s">
        <v>1594</v>
      </c>
      <c r="D64" t="s">
        <v>8</v>
      </c>
    </row>
    <row r="65" spans="2:4" x14ac:dyDescent="0.35">
      <c r="B65" t="s">
        <v>1645</v>
      </c>
      <c r="C65" t="s">
        <v>1596</v>
      </c>
      <c r="D65" t="s">
        <v>1132</v>
      </c>
    </row>
    <row r="66" spans="2:4" x14ac:dyDescent="0.35">
      <c r="B66" t="s">
        <v>1646</v>
      </c>
      <c r="C66" t="s">
        <v>1595</v>
      </c>
      <c r="D66" t="s">
        <v>1230</v>
      </c>
    </row>
    <row r="67" spans="2:4" x14ac:dyDescent="0.35">
      <c r="B67" t="s">
        <v>1647</v>
      </c>
      <c r="C67" t="s">
        <v>1648</v>
      </c>
      <c r="D67" t="s">
        <v>8</v>
      </c>
    </row>
    <row r="68" spans="2:4" x14ac:dyDescent="0.35">
      <c r="B68" t="s">
        <v>1650</v>
      </c>
      <c r="C68" t="s">
        <v>1596</v>
      </c>
      <c r="D68" t="s">
        <v>1132</v>
      </c>
    </row>
    <row r="69" spans="2:4" x14ac:dyDescent="0.35">
      <c r="B69" t="s">
        <v>1651</v>
      </c>
      <c r="C69" t="s">
        <v>1649</v>
      </c>
      <c r="D69" t="s">
        <v>1230</v>
      </c>
    </row>
    <row r="70" spans="2:4" x14ac:dyDescent="0.35">
      <c r="B70" t="s">
        <v>1697</v>
      </c>
      <c r="C70" t="s">
        <v>1652</v>
      </c>
      <c r="D70" t="s">
        <v>8</v>
      </c>
    </row>
    <row r="71" spans="2:4" x14ac:dyDescent="0.35">
      <c r="B71" t="s">
        <v>1675</v>
      </c>
      <c r="C71" t="s">
        <v>1698</v>
      </c>
      <c r="D71" t="s">
        <v>1700</v>
      </c>
    </row>
    <row r="72" spans="2:4" x14ac:dyDescent="0.35">
      <c r="B72" t="s">
        <v>1686</v>
      </c>
      <c r="C72" t="s">
        <v>1699</v>
      </c>
      <c r="D72" t="s">
        <v>1701</v>
      </c>
    </row>
    <row r="73" spans="2:4" x14ac:dyDescent="0.35">
      <c r="B73" t="s">
        <v>1702</v>
      </c>
      <c r="C73" t="s">
        <v>1702</v>
      </c>
      <c r="D73" t="s">
        <v>442</v>
      </c>
    </row>
    <row r="74" spans="2:4" x14ac:dyDescent="0.35">
      <c r="B74" t="s">
        <v>1716</v>
      </c>
      <c r="C74" t="s">
        <v>1722</v>
      </c>
      <c r="D74" t="s">
        <v>442</v>
      </c>
    </row>
    <row r="75" spans="2:4" x14ac:dyDescent="0.35">
      <c r="B75" t="s">
        <v>1721</v>
      </c>
      <c r="C75" t="s">
        <v>1723</v>
      </c>
      <c r="D75" t="s">
        <v>8</v>
      </c>
    </row>
    <row r="76" spans="2:4" x14ac:dyDescent="0.35">
      <c r="B76" t="s">
        <v>1769</v>
      </c>
      <c r="C76" t="s">
        <v>1787</v>
      </c>
      <c r="D76" t="s">
        <v>8</v>
      </c>
    </row>
    <row r="77" spans="2:4" x14ac:dyDescent="0.35">
      <c r="B77" t="s">
        <v>1790</v>
      </c>
      <c r="C77" t="s">
        <v>1788</v>
      </c>
      <c r="D77" t="s">
        <v>1858</v>
      </c>
    </row>
    <row r="78" spans="2:4" x14ac:dyDescent="0.35">
      <c r="B78" t="s">
        <v>1857</v>
      </c>
      <c r="C78" t="s">
        <v>1860</v>
      </c>
      <c r="D78" t="s">
        <v>1859</v>
      </c>
    </row>
    <row r="79" spans="2:4" x14ac:dyDescent="0.35">
      <c r="B79" t="s">
        <v>1900</v>
      </c>
      <c r="C79" t="s">
        <v>1919</v>
      </c>
      <c r="D79" t="s">
        <v>1859</v>
      </c>
    </row>
    <row r="80" spans="2:4" x14ac:dyDescent="0.35">
      <c r="B80" t="s">
        <v>1901</v>
      </c>
      <c r="C80" t="s">
        <v>1920</v>
      </c>
      <c r="D80" t="s">
        <v>1859</v>
      </c>
    </row>
    <row r="81" spans="2:4" x14ac:dyDescent="0.35">
      <c r="B81" t="s">
        <v>1921</v>
      </c>
      <c r="C81" t="s">
        <v>1972</v>
      </c>
      <c r="D81" t="s">
        <v>1973</v>
      </c>
    </row>
    <row r="82" spans="2:4" x14ac:dyDescent="0.35">
      <c r="B82" t="s">
        <v>1974</v>
      </c>
      <c r="C82" t="s">
        <v>1975</v>
      </c>
      <c r="D82" t="s">
        <v>1976</v>
      </c>
    </row>
    <row r="83" spans="2:4" x14ac:dyDescent="0.35">
      <c r="B83" t="s">
        <v>1978</v>
      </c>
      <c r="C83" t="s">
        <v>1977</v>
      </c>
      <c r="D83" t="s">
        <v>1976</v>
      </c>
    </row>
    <row r="84" spans="2:4" x14ac:dyDescent="0.35">
      <c r="B84" t="s">
        <v>2122</v>
      </c>
      <c r="C84" t="s">
        <v>2132</v>
      </c>
      <c r="D84" t="s">
        <v>1976</v>
      </c>
    </row>
    <row r="85" spans="2:4" x14ac:dyDescent="0.35">
      <c r="B85" t="s">
        <v>2134</v>
      </c>
      <c r="C85" t="s">
        <v>2133</v>
      </c>
      <c r="D85" t="s">
        <v>1976</v>
      </c>
    </row>
    <row r="86" spans="2:4" x14ac:dyDescent="0.35">
      <c r="B86" t="s">
        <v>2144</v>
      </c>
      <c r="C86" t="s">
        <v>2156</v>
      </c>
      <c r="D86" t="s">
        <v>2155</v>
      </c>
    </row>
    <row r="87" spans="2:4" x14ac:dyDescent="0.35">
      <c r="B87" t="s">
        <v>2159</v>
      </c>
      <c r="C87" t="s">
        <v>2160</v>
      </c>
      <c r="D87" t="s">
        <v>2157</v>
      </c>
    </row>
    <row r="88" spans="2:4" x14ac:dyDescent="0.35">
      <c r="B88" t="s">
        <v>2180</v>
      </c>
      <c r="C88" t="s">
        <v>2181</v>
      </c>
      <c r="D88" t="s">
        <v>1858</v>
      </c>
    </row>
    <row r="89" spans="2:4" x14ac:dyDescent="0.35">
      <c r="B89" t="s">
        <v>2182</v>
      </c>
      <c r="C89" t="s">
        <v>2183</v>
      </c>
      <c r="D89" t="s">
        <v>1973</v>
      </c>
    </row>
    <row r="90" spans="2:4" x14ac:dyDescent="0.35">
      <c r="B90" t="s">
        <v>2184</v>
      </c>
      <c r="C90" t="s">
        <v>2185</v>
      </c>
      <c r="D90" t="s">
        <v>1973</v>
      </c>
    </row>
    <row r="91" spans="2:4" x14ac:dyDescent="0.35">
      <c r="B91" t="s">
        <v>2186</v>
      </c>
      <c r="C91" t="s">
        <v>2187</v>
      </c>
    </row>
    <row r="92" spans="2:4" x14ac:dyDescent="0.35">
      <c r="B92" t="s">
        <v>2188</v>
      </c>
      <c r="C92" t="s">
        <v>2189</v>
      </c>
    </row>
    <row r="93" spans="2:4" x14ac:dyDescent="0.35">
      <c r="B93" t="s">
        <v>2190</v>
      </c>
      <c r="C93" t="s">
        <v>2191</v>
      </c>
    </row>
    <row r="94" spans="2:4" x14ac:dyDescent="0.35">
      <c r="B94" t="s">
        <v>2192</v>
      </c>
      <c r="C94" t="s">
        <v>2193</v>
      </c>
      <c r="D94" t="s">
        <v>1859</v>
      </c>
    </row>
    <row r="95" spans="2:4" x14ac:dyDescent="0.35">
      <c r="B95" t="s">
        <v>2194</v>
      </c>
      <c r="C95" t="s">
        <v>2193</v>
      </c>
      <c r="D95" t="s">
        <v>1859</v>
      </c>
    </row>
    <row r="96" spans="2:4" x14ac:dyDescent="0.35">
      <c r="B96" t="s">
        <v>2195</v>
      </c>
      <c r="C96" t="s">
        <v>2193</v>
      </c>
      <c r="D96" t="s">
        <v>1859</v>
      </c>
    </row>
    <row r="97" spans="2:4" x14ac:dyDescent="0.35">
      <c r="B97" t="s">
        <v>2196</v>
      </c>
      <c r="C97" t="s">
        <v>2193</v>
      </c>
      <c r="D97" t="s">
        <v>2155</v>
      </c>
    </row>
    <row r="98" spans="2:4" x14ac:dyDescent="0.35">
      <c r="B98" t="s">
        <v>2197</v>
      </c>
      <c r="C98" t="s">
        <v>2193</v>
      </c>
      <c r="D98" t="s">
        <v>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dimension ref="A1:S2335"/>
  <sheetViews>
    <sheetView tabSelected="1" topLeftCell="B1" zoomScaleNormal="100" workbookViewId="0">
      <pane xSplit="4" ySplit="1" topLeftCell="F2302" activePane="bottomRight" state="frozen"/>
      <selection activeCell="B1" sqref="B1"/>
      <selection pane="topRight" activeCell="F1" sqref="F1"/>
      <selection pane="bottomLeft" activeCell="B2" sqref="B2"/>
      <selection pane="bottomRight" activeCell="D2327" sqref="D2327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83.5" customWidth="1"/>
    <col min="5" max="5" width="12.5" bestFit="1" customWidth="1"/>
    <col min="6" max="11" width="9.4140625" customWidth="1"/>
    <col min="13" max="13" width="16.4140625" bestFit="1" customWidth="1"/>
    <col min="14" max="18" width="15.4140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2040</v>
      </c>
      <c r="K1" s="2">
        <v>2050</v>
      </c>
    </row>
    <row r="2" spans="1:11" x14ac:dyDescent="0.35">
      <c r="A2" s="9" t="s">
        <v>5</v>
      </c>
      <c r="B2" s="9" t="s">
        <v>2179</v>
      </c>
      <c r="C2" s="2" t="s">
        <v>7</v>
      </c>
      <c r="D2" s="2" t="s">
        <v>15</v>
      </c>
      <c r="E2" s="2" t="s">
        <v>8</v>
      </c>
      <c r="F2" s="3">
        <f>F3+F8+F11+F12+F16+F17+F18+F19</f>
        <v>301.54827928186927</v>
      </c>
      <c r="G2" s="3">
        <f t="shared" ref="G2:K2" si="0">G3+G8+G11+G12+G16+G17+G18+G19</f>
        <v>297.81097462257065</v>
      </c>
      <c r="H2" s="3">
        <f t="shared" si="0"/>
        <v>343.87239606248392</v>
      </c>
      <c r="I2" s="3">
        <f t="shared" si="0"/>
        <v>446.49206962057178</v>
      </c>
      <c r="J2" s="3">
        <f t="shared" si="0"/>
        <v>527.73722352078039</v>
      </c>
      <c r="K2" s="3">
        <f t="shared" si="0"/>
        <v>609.55557224833979</v>
      </c>
    </row>
    <row r="3" spans="1:11" x14ac:dyDescent="0.35">
      <c r="A3" s="5" t="str">
        <f>A2</f>
        <v>STEM</v>
      </c>
      <c r="B3" s="5" t="str">
        <f>B2</f>
        <v>SPS2</v>
      </c>
      <c r="C3" s="5" t="str">
        <f t="shared" ref="C3" si="1">C2</f>
        <v>CH</v>
      </c>
      <c r="D3" t="s">
        <v>771</v>
      </c>
      <c r="E3" t="s">
        <v>8</v>
      </c>
      <c r="F3" s="1">
        <f>SUM(F4:F7)</f>
        <v>46.333864843796142</v>
      </c>
      <c r="G3" s="1">
        <f t="shared" ref="G3:K3" si="2">SUM(G4:G7)</f>
        <v>50.490525351617748</v>
      </c>
      <c r="H3" s="1">
        <f t="shared" si="2"/>
        <v>53.867907338111252</v>
      </c>
      <c r="I3" s="1">
        <f t="shared" si="2"/>
        <v>53.868285962863794</v>
      </c>
      <c r="J3" s="1">
        <f t="shared" si="2"/>
        <v>63.095999822276653</v>
      </c>
      <c r="K3" s="1">
        <f t="shared" si="2"/>
        <v>71.309367456940606</v>
      </c>
    </row>
    <row r="4" spans="1:11" x14ac:dyDescent="0.35">
      <c r="A4" s="5" t="str">
        <f t="shared" ref="A4:B53" si="3">A3</f>
        <v>STEM</v>
      </c>
      <c r="B4" s="5" t="str">
        <f t="shared" si="3"/>
        <v>SPS2</v>
      </c>
      <c r="C4" s="5" t="str">
        <f t="shared" ref="C4:C60" si="4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11.111903223719343</v>
      </c>
      <c r="G4" s="1" cm="1">
        <f t="array" ref="G4">SUMPRODUCT(("RNWWOD1"=[1]OUT_PrimaryEnergyCons!$A$1:$A$1000)*1,[1]OUT_PrimaryEnergyCons!E$1:E$1000)</f>
        <v>11.95290756883387</v>
      </c>
      <c r="H4" s="1" cm="1">
        <f t="array" ref="H4">SUMPRODUCT(("RNWWOD1"=[1]OUT_PrimaryEnergyCons!$A$1:$A$1000)*1,[1]OUT_PrimaryEnergyCons!F$1:F$1000)</f>
        <v>13.357203666386715</v>
      </c>
      <c r="I4" s="1" cm="1">
        <f t="array" ref="I4">SUMPRODUCT(("RNWWOD1"=[1]OUT_PrimaryEnergyCons!$A$1:$A$1000)*1,[1]OUT_PrimaryEnergyCons!G$1:G$1000)</f>
        <v>15.656168931402766</v>
      </c>
      <c r="J4" s="1" cm="1">
        <f t="array" ref="J4">SUMPRODUCT(("RNWWOD1"=[1]OUT_PrimaryEnergyCons!$A$1:$A$1000)*1,[1]OUT_PrimaryEnergyCons!H$1:H$1000)</f>
        <v>17.11365295932568</v>
      </c>
      <c r="K4" s="1" cm="1">
        <f t="array" ref="K4">SUMPRODUCT(("RNWWOD1"=[1]OUT_PrimaryEnergyCons!$A$1:$A$1000)*1,[1]OUT_PrimaryEnergyCons!I$1:I$1000)</f>
        <v>18.429691912950826</v>
      </c>
    </row>
    <row r="5" spans="1:11" x14ac:dyDescent="0.35">
      <c r="A5" s="5" t="str">
        <f t="shared" si="3"/>
        <v>STEM</v>
      </c>
      <c r="B5" s="5" t="str">
        <f t="shared" si="3"/>
        <v>SPS2</v>
      </c>
      <c r="C5" s="5" t="str">
        <f t="shared" si="4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7.511696521954943</v>
      </c>
      <c r="G5" s="1" cm="1">
        <f t="array" ref="G5">SUMPRODUCT(("RNWWOD2"=[1]OUT_PrimaryEnergyCons!$A$1:$A$1000)*1,[1]OUT_PrimaryEnergyCons!E$1:E$1000)</f>
        <v>7.5431656216657226</v>
      </c>
      <c r="H5" s="1" cm="1">
        <f t="array" ref="H5">SUMPRODUCT(("RNWWOD2"=[1]OUT_PrimaryEnergyCons!$A$1:$A$1000)*1,[1]OUT_PrimaryEnergyCons!F$1:F$1000)</f>
        <v>7.5903570981293695</v>
      </c>
      <c r="I5" s="1" cm="1">
        <f t="array" ref="I5">SUMPRODUCT(("RNWWOD2"=[1]OUT_PrimaryEnergyCons!$A$1:$A$1000)*1,[1]OUT_PrimaryEnergyCons!G$1:G$1000)</f>
        <v>7.669038104211908</v>
      </c>
      <c r="J5" s="1" cm="1">
        <f t="array" ref="J5">SUMPRODUCT(("RNWWOD2"=[1]OUT_PrimaryEnergyCons!$A$1:$A$1000)*1,[1]OUT_PrimaryEnergyCons!H$1:H$1000)</f>
        <v>7.6690375494406133</v>
      </c>
      <c r="K5" s="1" cm="1">
        <f t="array" ref="K5">SUMPRODUCT(("RNWWOD2"=[1]OUT_PrimaryEnergyCons!$A$1:$A$1000)*1,[1]OUT_PrimaryEnergyCons!I$1:I$1000)</f>
        <v>7.66904793259644</v>
      </c>
    </row>
    <row r="6" spans="1:11" x14ac:dyDescent="0.35">
      <c r="A6" s="5" t="str">
        <f t="shared" si="3"/>
        <v>STEM</v>
      </c>
      <c r="B6" s="5" t="str">
        <f t="shared" si="3"/>
        <v>SPS2</v>
      </c>
      <c r="C6" s="5" t="str">
        <f t="shared" si="4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3.1682705552262749</v>
      </c>
      <c r="G6" s="1" cm="1">
        <f t="array" ref="G6">SUMPRODUCT(("RNWWOD3"=[1]OUT_PrimaryEnergyCons!$A$1:$A$1000)*1,[1]OUT_PrimaryEnergyCons!E$1:E$1000)</f>
        <v>3.4956823114895896</v>
      </c>
      <c r="H6" s="1" cm="1">
        <f t="array" ref="H6">SUMPRODUCT(("RNWWOD3"=[1]OUT_PrimaryEnergyCons!$A$1:$A$1000)*1,[1]OUT_PrimaryEnergyCons!F$1:F$1000)</f>
        <v>3.9868228696767529</v>
      </c>
      <c r="I6" s="1" cm="1">
        <f t="array" ref="I6">SUMPRODUCT(("RNWWOD3"=[1]OUT_PrimaryEnergyCons!$A$1:$A$1000)*1,[1]OUT_PrimaryEnergyCons!G$1:G$1000)</f>
        <v>4.8053900806386309</v>
      </c>
      <c r="J6" s="1" cm="1">
        <f t="array" ref="J6">SUMPRODUCT(("RNWWOD3"=[1]OUT_PrimaryEnergyCons!$A$1:$A$1000)*1,[1]OUT_PrimaryEnergyCons!H$1:H$1000)</f>
        <v>4.8053964936068763</v>
      </c>
      <c r="K6" s="1" cm="1">
        <f t="array" ref="K6">SUMPRODUCT(("RNWWOD3"=[1]OUT_PrimaryEnergyCons!$A$1:$A$1000)*1,[1]OUT_PrimaryEnergyCons!I$1:I$1000)</f>
        <v>4.8053923972638746</v>
      </c>
    </row>
    <row r="7" spans="1:11" x14ac:dyDescent="0.35">
      <c r="A7" s="5" t="str">
        <f t="shared" si="3"/>
        <v>STEM</v>
      </c>
      <c r="B7" s="5" t="str">
        <f t="shared" si="3"/>
        <v>SPS2</v>
      </c>
      <c r="C7" s="5" t="str">
        <f t="shared" si="4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24.54199454289558</v>
      </c>
      <c r="G7" s="1" cm="1">
        <f t="array" ref="G7">SUMPRODUCT(("RNWWOD4"=[1]OUT_PrimaryEnergyCons!$A$1:$A$1000)*1+("RNWWOD5"=[1]OUT_PrimaryEnergyCons!$A$1:$A$1000)*1,[1]OUT_PrimaryEnergyCons!E$1:E$1000)</f>
        <v>27.49876984962857</v>
      </c>
      <c r="H7" s="1" cm="1">
        <f t="array" ref="H7">SUMPRODUCT(("RNWWOD4"=[1]OUT_PrimaryEnergyCons!$A$1:$A$1000)*1+("RNWWOD5"=[1]OUT_PrimaryEnergyCons!$A$1:$A$1000)*1,[1]OUT_PrimaryEnergyCons!F$1:F$1000)</f>
        <v>28.933523703918418</v>
      </c>
      <c r="I7" s="1" cm="1">
        <f t="array" ref="I7">SUMPRODUCT(("RNWWOD4"=[1]OUT_PrimaryEnergyCons!$A$1:$A$1000)*1+("RNWWOD5"=[1]OUT_PrimaryEnergyCons!$A$1:$A$1000)*1,[1]OUT_PrimaryEnergyCons!G$1:G$1000)</f>
        <v>25.737688846610489</v>
      </c>
      <c r="J7" s="1" cm="1">
        <f t="array" ref="J7">SUMPRODUCT(("RNWWOD4"=[1]OUT_PrimaryEnergyCons!$A$1:$A$1000)*1+("RNWWOD5"=[1]OUT_PrimaryEnergyCons!$A$1:$A$1000)*1,[1]OUT_PrimaryEnergyCons!H$1:H$1000)</f>
        <v>33.507912819903481</v>
      </c>
      <c r="K7" s="1" cm="1">
        <f t="array" ref="K7">SUMPRODUCT(("RNWWOD4"=[1]OUT_PrimaryEnergyCons!$A$1:$A$1000)*1+("RNWWOD5"=[1]OUT_PrimaryEnergyCons!$A$1:$A$1000)*1,[1]OUT_PrimaryEnergyCons!I$1:I$1000)</f>
        <v>40.405235214129462</v>
      </c>
    </row>
    <row r="8" spans="1:11" x14ac:dyDescent="0.35">
      <c r="A8" s="5" t="str">
        <f t="shared" si="3"/>
        <v>STEM</v>
      </c>
      <c r="B8" s="5" t="str">
        <f t="shared" si="3"/>
        <v>SPS2</v>
      </c>
      <c r="C8" s="5" t="str">
        <f t="shared" si="4"/>
        <v>CH</v>
      </c>
      <c r="D8" t="s">
        <v>772</v>
      </c>
      <c r="E8" t="s">
        <v>8</v>
      </c>
      <c r="F8" s="1">
        <f>SUM(F9:F10)</f>
        <v>70.031704629784969</v>
      </c>
      <c r="G8" s="1">
        <f t="shared" ref="G8:K8" si="5">SUM(G9:G10)</f>
        <v>70.31990086731065</v>
      </c>
      <c r="H8" s="1">
        <f t="shared" si="5"/>
        <v>70.133320827473625</v>
      </c>
      <c r="I8" s="1">
        <f t="shared" si="5"/>
        <v>74.600168772918323</v>
      </c>
      <c r="J8" s="1">
        <f t="shared" si="5"/>
        <v>79.195771134986813</v>
      </c>
      <c r="K8" s="1">
        <f t="shared" si="5"/>
        <v>83.828058941572749</v>
      </c>
    </row>
    <row r="9" spans="1:11" x14ac:dyDescent="0.35">
      <c r="A9" s="5" t="str">
        <f t="shared" si="3"/>
        <v>STEM</v>
      </c>
      <c r="B9" s="5" t="str">
        <f t="shared" si="3"/>
        <v>SPS2</v>
      </c>
      <c r="C9" s="5" t="str">
        <f t="shared" si="4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35.931209771846547</v>
      </c>
      <c r="G9" s="1" cm="1">
        <f t="array" ref="G9">SUMPRODUCT(("RNNWWST1"=[1]OUT_PrimaryEnergyCons!$A$1:$A$1000)*1,[1]OUT_PrimaryEnergyCons!E$1:E$1000)</f>
        <v>36.218776929247788</v>
      </c>
      <c r="H9" s="1" cm="1">
        <f t="array" ref="H9">SUMPRODUCT(("RNNWWST1"=[1]OUT_PrimaryEnergyCons!$A$1:$A$1000)*1,[1]OUT_PrimaryEnergyCons!F$1:F$1000)</f>
        <v>36.032187568349471</v>
      </c>
      <c r="I9" s="1" cm="1">
        <f t="array" ref="I9">SUMPRODUCT(("RNNWWST1"=[1]OUT_PrimaryEnergyCons!$A$1:$A$1000)*1,[1]OUT_PrimaryEnergyCons!G$1:G$1000)</f>
        <v>37.198089783637549</v>
      </c>
      <c r="J9" s="1" cm="1">
        <f t="array" ref="J9">SUMPRODUCT(("RNNWWST1"=[1]OUT_PrimaryEnergyCons!$A$1:$A$1000)*1,[1]OUT_PrimaryEnergyCons!H$1:H$1000)</f>
        <v>38.08253379608724</v>
      </c>
      <c r="K9" s="1" cm="1">
        <f t="array" ref="K9">SUMPRODUCT(("RNNWWST1"=[1]OUT_PrimaryEnergyCons!$A$1:$A$1000)*1,[1]OUT_PrimaryEnergyCons!I$1:I$1000)</f>
        <v>39.221670937669039</v>
      </c>
    </row>
    <row r="10" spans="1:11" x14ac:dyDescent="0.35">
      <c r="A10" s="5" t="str">
        <f t="shared" si="3"/>
        <v>STEM</v>
      </c>
      <c r="B10" s="5" t="str">
        <f t="shared" si="3"/>
        <v>SPS2</v>
      </c>
      <c r="C10" s="5" t="str">
        <f t="shared" si="4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34.100494857938415</v>
      </c>
      <c r="G10" s="1" cm="1">
        <f t="array" ref="G10">SUMPRODUCT(("RNWWST1"=[1]OUT_PrimaryEnergyCons!$A$1:$A$1000)*1,[1]OUT_PrimaryEnergyCons!E$1:E$1000)</f>
        <v>34.101123938062869</v>
      </c>
      <c r="H10" s="1" cm="1">
        <f t="array" ref="H10">SUMPRODUCT(("RNWWST1"=[1]OUT_PrimaryEnergyCons!$A$1:$A$1000)*1,[1]OUT_PrimaryEnergyCons!F$1:F$1000)</f>
        <v>34.101133259124147</v>
      </c>
      <c r="I10" s="1" cm="1">
        <f t="array" ref="I10">SUMPRODUCT(("RNWWST1"=[1]OUT_PrimaryEnergyCons!$A$1:$A$1000)*1,[1]OUT_PrimaryEnergyCons!G$1:G$1000)</f>
        <v>37.402078989280781</v>
      </c>
      <c r="J10" s="1" cm="1">
        <f t="array" ref="J10">SUMPRODUCT(("RNWWST1"=[1]OUT_PrimaryEnergyCons!$A$1:$A$1000)*1,[1]OUT_PrimaryEnergyCons!H$1:H$1000)</f>
        <v>41.113237338899573</v>
      </c>
      <c r="K10" s="1" cm="1">
        <f t="array" ref="K10">SUMPRODUCT(("RNWWST1"=[1]OUT_PrimaryEnergyCons!$A$1:$A$1000)*1,[1]OUT_PrimaryEnergyCons!I$1:I$1000)</f>
        <v>44.60638800390371</v>
      </c>
    </row>
    <row r="11" spans="1:11" x14ac:dyDescent="0.35">
      <c r="A11" s="5" t="str">
        <f t="shared" si="3"/>
        <v>STEM</v>
      </c>
      <c r="B11" s="5" t="str">
        <f t="shared" si="3"/>
        <v>SPS2</v>
      </c>
      <c r="C11" s="5" t="str">
        <f t="shared" si="4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3.7981374165030539</v>
      </c>
      <c r="G11" s="1" cm="1">
        <f t="array" ref="G11">SUMPRODUCT(("mnr"=[1]OUT_PrimaryEnergyCons!$C$1:$C$1000)*1,[1]OUT_PrimaryEnergyCons!E$1:E$1000)</f>
        <v>12.540429534987217</v>
      </c>
      <c r="H11" s="1" cm="1">
        <f t="array" ref="H11">SUMPRODUCT(("mnr"=[1]OUT_PrimaryEnergyCons!$C$1:$C$1000)*1,[1]OUT_PrimaryEnergyCons!F$1:F$1000)</f>
        <v>12.540446857717637</v>
      </c>
      <c r="I11" s="1" cm="1">
        <f t="array" ref="I11">SUMPRODUCT(("mnr"=[1]OUT_PrimaryEnergyCons!$C$1:$C$1000)*1,[1]OUT_PrimaryEnergyCons!G$1:G$1000)</f>
        <v>12.540468355927601</v>
      </c>
      <c r="J11" s="1" cm="1">
        <f t="array" ref="J11">SUMPRODUCT(("mnr"=[1]OUT_PrimaryEnergyCons!$C$1:$C$1000)*1,[1]OUT_PrimaryEnergyCons!H$1:H$1000)</f>
        <v>17.36027507852927</v>
      </c>
      <c r="K11" s="1" cm="1">
        <f t="array" ref="K11">SUMPRODUCT(("mnr"=[1]OUT_PrimaryEnergyCons!$C$1:$C$1000)*1,[1]OUT_PrimaryEnergyCons!I$1:I$1000)</f>
        <v>18.829754855565316</v>
      </c>
    </row>
    <row r="12" spans="1:11" x14ac:dyDescent="0.35">
      <c r="A12" s="5" t="str">
        <f t="shared" si="3"/>
        <v>STEM</v>
      </c>
      <c r="B12" s="5" t="str">
        <f t="shared" si="3"/>
        <v>SPS2</v>
      </c>
      <c r="C12" s="5" t="str">
        <f t="shared" si="4"/>
        <v>CH</v>
      </c>
      <c r="D12" t="s">
        <v>774</v>
      </c>
      <c r="E12" t="s">
        <v>8</v>
      </c>
      <c r="F12" s="1">
        <f>SUM(F13:F15)</f>
        <v>149.43050891020553</v>
      </c>
      <c r="G12" s="1">
        <f t="shared" ref="G12:K12" si="6">SUM(G13:G15)</f>
        <v>125.61099564301975</v>
      </c>
      <c r="H12" s="1">
        <f t="shared" si="6"/>
        <v>144.60421894080295</v>
      </c>
      <c r="I12" s="1">
        <f t="shared" si="6"/>
        <v>184.76924190296492</v>
      </c>
      <c r="J12" s="1">
        <f t="shared" si="6"/>
        <v>155.06378417958777</v>
      </c>
      <c r="K12" s="1">
        <f t="shared" si="6"/>
        <v>159.23144331018531</v>
      </c>
    </row>
    <row r="13" spans="1:11" x14ac:dyDescent="0.35">
      <c r="A13" s="5" t="str">
        <f t="shared" si="3"/>
        <v>STEM</v>
      </c>
      <c r="B13" s="5" t="str">
        <f t="shared" si="3"/>
        <v>SPS2</v>
      </c>
      <c r="C13" s="5" t="str">
        <f t="shared" si="4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66.745680801082017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49.798798162012751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68.519822333982376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68.564272621523827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71.347195485573749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74.836062463111176</v>
      </c>
    </row>
    <row r="14" spans="1:11" x14ac:dyDescent="0.35">
      <c r="A14" s="5" t="str">
        <f t="shared" si="3"/>
        <v>STEM</v>
      </c>
      <c r="B14" s="5" t="str">
        <f t="shared" si="3"/>
        <v>SPS2</v>
      </c>
      <c r="C14" s="5" t="str">
        <f t="shared" si="4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66.632410606460908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55.764006821931353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65.566170920840051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66.917163236066756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66.967455268473685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67.13500508681291</v>
      </c>
    </row>
    <row r="15" spans="1:11" x14ac:dyDescent="0.35">
      <c r="A15" s="5" t="str">
        <f t="shared" si="3"/>
        <v>STEM</v>
      </c>
      <c r="B15" s="5" t="str">
        <f t="shared" si="3"/>
        <v>SPS2</v>
      </c>
      <c r="C15" s="5" t="str">
        <f t="shared" si="4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16.052417502662617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20.048190659075637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10.518225685980527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49.287806045374339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16.749133425540361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17.260375760261219</v>
      </c>
    </row>
    <row r="16" spans="1:11" x14ac:dyDescent="0.35">
      <c r="A16" s="5" t="str">
        <f t="shared" si="3"/>
        <v>STEM</v>
      </c>
      <c r="B16" s="5" t="str">
        <f t="shared" si="3"/>
        <v>SPS2</v>
      </c>
      <c r="C16" s="5" t="str">
        <f t="shared" si="4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12.556628750568752</v>
      </c>
      <c r="G16" s="1" cm="1">
        <f t="array" ref="G16">SUMPRODUCT(ISNUMBER(SEARCH("SOL",[1]OUT_PrimaryEnergyCons!$C$1:$C$1000))*1,[1]OUT_PrimaryEnergyCons!E$1:E$1000)</f>
        <v>16.524078572413828</v>
      </c>
      <c r="H16" s="1" cm="1">
        <f t="array" ref="H16">SUMPRODUCT(ISNUMBER(SEARCH("SOL",[1]OUT_PrimaryEnergyCons!$C$1:$C$1000))*1,[1]OUT_PrimaryEnergyCons!F$1:F$1000)</f>
        <v>30.408888195972985</v>
      </c>
      <c r="I16" s="1" cm="1">
        <f t="array" ref="I16">SUMPRODUCT(ISNUMBER(SEARCH("SOL",[1]OUT_PrimaryEnergyCons!$C$1:$C$1000))*1,[1]OUT_PrimaryEnergyCons!G$1:G$1000)</f>
        <v>64.437686546299503</v>
      </c>
      <c r="J16" s="1" cm="1">
        <f t="array" ref="J16">SUMPRODUCT(ISNUMBER(SEARCH("SOL",[1]OUT_PrimaryEnergyCons!$C$1:$C$1000))*1,[1]OUT_PrimaryEnergyCons!H$1:H$1000)</f>
        <v>124.4324782329119</v>
      </c>
      <c r="K16" s="1" cm="1">
        <f t="array" ref="K16">SUMPRODUCT(ISNUMBER(SEARCH("SOL",[1]OUT_PrimaryEnergyCons!$C$1:$C$1000))*1,[1]OUT_PrimaryEnergyCons!I$1:I$1000)</f>
        <v>160.45518090943628</v>
      </c>
    </row>
    <row r="17" spans="1:18" x14ac:dyDescent="0.35">
      <c r="A17" s="5" t="str">
        <f t="shared" si="3"/>
        <v>STEM</v>
      </c>
      <c r="B17" s="5" t="str">
        <f t="shared" si="3"/>
        <v>SPS2</v>
      </c>
      <c r="C17" s="5" t="str">
        <f t="shared" si="4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0.52406099134153838</v>
      </c>
      <c r="G17" s="1" cm="1">
        <f t="array" ref="G17">SUMPRODUCT(ISNUMBER(SEARCH("wnd",[1]OUT_PrimaryEnergyCons!$C$1:$C$1000))*1,[1]OUT_PrimaryEnergyCons!E$1:E$1000)</f>
        <v>0.54530603828007629</v>
      </c>
      <c r="H17" s="1" cm="1">
        <f t="array" ref="H17">SUMPRODUCT(ISNUMBER(SEARCH("wnd",[1]OUT_PrimaryEnergyCons!$C$1:$C$1000))*1,[1]OUT_PrimaryEnergyCons!F$1:F$1000)</f>
        <v>0.50317863996423018</v>
      </c>
      <c r="I17" s="1" cm="1">
        <f t="array" ref="I17">SUMPRODUCT(ISNUMBER(SEARCH("wnd",[1]OUT_PrimaryEnergyCons!$C$1:$C$1000))*1,[1]OUT_PrimaryEnergyCons!G$1:G$1000)</f>
        <v>2.0503198733903392</v>
      </c>
      <c r="J17" s="1" cm="1">
        <f t="array" ref="J17">SUMPRODUCT(ISNUMBER(SEARCH("wnd",[1]OUT_PrimaryEnergyCons!$C$1:$C$1000))*1,[1]OUT_PrimaryEnergyCons!H$1:H$1000)</f>
        <v>7.1993963438292878</v>
      </c>
      <c r="K17" s="1" cm="1">
        <f t="array" ref="K17">SUMPRODUCT(ISNUMBER(SEARCH("wnd",[1]OUT_PrimaryEnergyCons!$C$1:$C$1000))*1,[1]OUT_PrimaryEnergyCons!I$1:I$1000)</f>
        <v>26.77146298481885</v>
      </c>
    </row>
    <row r="18" spans="1:18" x14ac:dyDescent="0.35">
      <c r="A18" s="5" t="str">
        <f t="shared" si="3"/>
        <v>STEM</v>
      </c>
      <c r="B18" s="5" t="str">
        <f t="shared" si="3"/>
        <v>SPS2</v>
      </c>
      <c r="C18" s="5" t="str">
        <f t="shared" si="4"/>
        <v>CH</v>
      </c>
      <c r="D18" t="s">
        <v>777</v>
      </c>
      <c r="E18" t="s">
        <v>8</v>
      </c>
      <c r="F18" s="1">
        <f>[1]Overview!B$9-F19</f>
        <v>18.873373739669322</v>
      </c>
      <c r="G18" s="1">
        <f>[1]Overview!C$9-G19</f>
        <v>21.779738614941394</v>
      </c>
      <c r="H18" s="1">
        <f>[1]Overview!D$9-H19</f>
        <v>31.814435262441293</v>
      </c>
      <c r="I18" s="1">
        <f>[1]Overview!E$9-I19</f>
        <v>54.225898206207333</v>
      </c>
      <c r="J18" s="1">
        <f>[1]Overview!F$9-J19</f>
        <v>81.301875894324965</v>
      </c>
      <c r="K18" s="1">
        <f>[1]Overview!G$9-K19</f>
        <v>88.575822215725296</v>
      </c>
    </row>
    <row r="19" spans="1:18" x14ac:dyDescent="0.35">
      <c r="A19" s="5" t="str">
        <f t="shared" si="3"/>
        <v>STEM</v>
      </c>
      <c r="B19" s="5" t="str">
        <f t="shared" si="3"/>
        <v>SPS2</v>
      </c>
      <c r="C19" s="5" t="str">
        <f t="shared" si="4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8.7642834333739802E-2</v>
      </c>
      <c r="K19" s="1">
        <f>+[1]Overview!G$28</f>
        <v>0.55448157409529852</v>
      </c>
    </row>
    <row r="20" spans="1:18" x14ac:dyDescent="0.35">
      <c r="A20" s="9" t="str">
        <f t="shared" si="3"/>
        <v>STEM</v>
      </c>
      <c r="B20" s="9" t="str">
        <f t="shared" si="3"/>
        <v>SPS2</v>
      </c>
      <c r="C20" s="2" t="str">
        <f t="shared" si="4"/>
        <v>CH</v>
      </c>
      <c r="D20" s="2" t="s">
        <v>19</v>
      </c>
      <c r="E20" s="2" t="s">
        <v>8</v>
      </c>
      <c r="F20" s="3">
        <f t="shared" ref="F20:K20" si="7">SUM(F21:F22,F39,F48:F49,F54)</f>
        <v>780.77714701368768</v>
      </c>
      <c r="G20" s="3">
        <f t="shared" si="7"/>
        <v>701.36929591530009</v>
      </c>
      <c r="H20" s="3">
        <f t="shared" si="7"/>
        <v>619.3791635809979</v>
      </c>
      <c r="I20" s="3">
        <f t="shared" si="7"/>
        <v>492.31757192824335</v>
      </c>
      <c r="J20" s="3">
        <f t="shared" si="7"/>
        <v>214.3686859397925</v>
      </c>
      <c r="K20" s="3">
        <f t="shared" si="7"/>
        <v>88.108548796864468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3"/>
        <v>STEM</v>
      </c>
      <c r="B21" s="5" t="str">
        <f t="shared" si="3"/>
        <v>SPS2</v>
      </c>
      <c r="C21" s="5" t="str">
        <f t="shared" si="4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3.6601003305816735</v>
      </c>
      <c r="G21" s="1" cm="1">
        <f t="array" ref="G21">SUMPRODUCT(("COA"=[1]OUT_PrimaryEnergyCons!$C$4:$C$10000)*1,[1]OUT_PrimaryEnergyCons!E$4:E$10000)</f>
        <v>3.5647439460349619</v>
      </c>
      <c r="H21" s="1" cm="1">
        <f t="array" ref="H21">SUMPRODUCT(("COA"=[1]OUT_PrimaryEnergyCons!$C$4:$C$10000)*1,[1]OUT_PrimaryEnergyCons!F$4:F$10000)</f>
        <v>3.2455494848262378</v>
      </c>
      <c r="I21" s="1" cm="1">
        <f t="array" ref="I21">SUMPRODUCT(("COA"=[1]OUT_PrimaryEnergyCons!$C$4:$C$10000)*1,[1]OUT_PrimaryEnergyCons!G$4:G$10000)</f>
        <v>8.7668907554710844E-4</v>
      </c>
      <c r="J21" s="1" cm="1">
        <f t="array" ref="J21">SUMPRODUCT(("COA"=[1]OUT_PrimaryEnergyCons!$C$4:$C$10000)*1,[1]OUT_PrimaryEnergyCons!H$4:H$10000)</f>
        <v>1.0123174128948299E-3</v>
      </c>
      <c r="K21" s="1" cm="1">
        <f t="array" ref="K21">SUMPRODUCT(("COA"=[1]OUT_PrimaryEnergyCons!$C$4:$C$10000)*1,[1]OUT_PrimaryEnergyCons!I$4:I$10000)</f>
        <v>2.4086008422096807E-5</v>
      </c>
    </row>
    <row r="22" spans="1:18" x14ac:dyDescent="0.35">
      <c r="A22" s="5" t="str">
        <f t="shared" si="3"/>
        <v>STEM</v>
      </c>
      <c r="B22" s="5" t="str">
        <f t="shared" si="3"/>
        <v>SPS2</v>
      </c>
      <c r="C22" s="5" t="str">
        <f t="shared" si="4"/>
        <v>CH</v>
      </c>
      <c r="D22" t="s">
        <v>780</v>
      </c>
      <c r="E22" t="s">
        <v>8</v>
      </c>
      <c r="F22" s="1">
        <f>F23+F29</f>
        <v>311.75783548329679</v>
      </c>
      <c r="G22" s="1">
        <f t="shared" ref="G22:K22" si="8">G23+G29</f>
        <v>287.50764370425566</v>
      </c>
      <c r="H22" s="1">
        <f t="shared" si="8"/>
        <v>260.57944627927372</v>
      </c>
      <c r="I22" s="1">
        <f t="shared" si="8"/>
        <v>152.17606768735129</v>
      </c>
      <c r="J22" s="1">
        <f t="shared" si="8"/>
        <v>70.320719552441517</v>
      </c>
      <c r="K22" s="1">
        <f t="shared" si="8"/>
        <v>69.861851505174187</v>
      </c>
    </row>
    <row r="23" spans="1:18" x14ac:dyDescent="0.35">
      <c r="A23" s="5" t="str">
        <f t="shared" ref="A23:B23" si="9">A22</f>
        <v>STEM</v>
      </c>
      <c r="B23" s="5" t="str">
        <f t="shared" si="9"/>
        <v>SPS2</v>
      </c>
      <c r="C23" s="5" t="str">
        <f t="shared" ref="C23" si="10">C22</f>
        <v>CH</v>
      </c>
      <c r="D23" t="s">
        <v>781</v>
      </c>
      <c r="E23" t="s">
        <v>8</v>
      </c>
      <c r="F23" s="1">
        <f>SUM(F24:F28)</f>
        <v>305.79769415952524</v>
      </c>
      <c r="G23" s="1">
        <f t="shared" ref="G23:K23" si="11">SUM(G24:G28)</f>
        <v>281.54797056494846</v>
      </c>
      <c r="H23" s="1">
        <f t="shared" si="11"/>
        <v>254.61972853566479</v>
      </c>
      <c r="I23" s="1">
        <f t="shared" si="11"/>
        <v>142.52467930631767</v>
      </c>
      <c r="J23" s="1">
        <f t="shared" si="11"/>
        <v>39.375931069196767</v>
      </c>
      <c r="K23" s="1">
        <f t="shared" si="11"/>
        <v>0</v>
      </c>
    </row>
    <row r="24" spans="1:18" x14ac:dyDescent="0.35">
      <c r="A24" s="5" t="str">
        <f>A22</f>
        <v>STEM</v>
      </c>
      <c r="B24" s="5" t="str">
        <f t="shared" ref="B24:B87" si="12">B23</f>
        <v>SPS2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101.79822328097571</v>
      </c>
      <c r="G24" s="1" cm="1">
        <f t="array" ref="G24">SUMPRODUCT(("LFO"=[1]OUT_PrimaryEnergyCons!$C$4:$C$10000)*1,[1]OUT_PrimaryEnergyCons!E$4:E$10000)</f>
        <v>88.320907577047521</v>
      </c>
      <c r="H24" s="1" cm="1">
        <f t="array" ref="H24">SUMPRODUCT(("LFO"=[1]OUT_PrimaryEnergyCons!$C$4:$C$10000)*1,[1]OUT_PrimaryEnergyCons!F$4:F$10000)</f>
        <v>83.346079050141967</v>
      </c>
      <c r="I24" s="1" cm="1">
        <f t="array" ref="I24">SUMPRODUCT(("LFO"=[1]OUT_PrimaryEnergyCons!$C$4:$C$10000)*1,[1]OUT_PrimaryEnergyCons!G$4:G$10000)</f>
        <v>46.240763404288629</v>
      </c>
      <c r="J24" s="1" cm="1">
        <f t="array" ref="J24">SUMPRODUCT(("LFO"=[1]OUT_PrimaryEnergyCons!$C$4:$C$10000)*1,[1]OUT_PrimaryEnergyCons!H$4:H$10000)</f>
        <v>14.143512688268398</v>
      </c>
      <c r="K24" s="1" cm="1">
        <f t="array" ref="K24">SUMPRODUCT(("LFO"=[1]OUT_PrimaryEnergyCons!$C$4:$C$10000)*1,[1]OUT_PrimaryEnergyCons!I$4:I$10000)</f>
        <v>0</v>
      </c>
    </row>
    <row r="25" spans="1:18" x14ac:dyDescent="0.35">
      <c r="A25" s="5" t="str">
        <f t="shared" si="3"/>
        <v>STEM</v>
      </c>
      <c r="B25" s="5" t="str">
        <f t="shared" si="12"/>
        <v>SPS2</v>
      </c>
      <c r="C25" s="5" t="str">
        <f t="shared" si="4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2.7764107403826093</v>
      </c>
      <c r="G25" s="1" cm="1">
        <f t="array" ref="G25">SUMPRODUCT(("HFO"=[1]OUT_PrimaryEnergyCons!$C$4:$C$10000)*1,[1]OUT_PrimaryEnergyCons!E$4:E$10000)</f>
        <v>2.6594468085616252</v>
      </c>
      <c r="H25" s="1" cm="1">
        <f t="array" ref="H25">SUMPRODUCT(("HFO"=[1]OUT_PrimaryEnergyCons!$C$4:$C$10000)*1,[1]OUT_PrimaryEnergyCons!F$4:F$10000)</f>
        <v>1.112370171729435E-2</v>
      </c>
      <c r="I25" s="1" cm="1">
        <f t="array" ref="I25">SUMPRODUCT(("HFO"=[1]OUT_PrimaryEnergyCons!$C$4:$C$10000)*1,[1]OUT_PrimaryEnergyCons!G$4:G$10000)</f>
        <v>6.6164721561264592E-4</v>
      </c>
      <c r="J25" s="1" cm="1">
        <f t="array" ref="J25">SUMPRODUCT(("HFO"=[1]OUT_PrimaryEnergyCons!$C$4:$C$10000)*1,[1]OUT_PrimaryEnergyCons!H$4:H$10000)</f>
        <v>1.0107088171216715E-3</v>
      </c>
      <c r="K25" s="1" cm="1">
        <f t="array" ref="K25">SUMPRODUCT(("HFO"=[1]OUT_PrimaryEnergyCons!$C$4:$C$10000)*1,[1]OUT_PrimaryEnergyCons!I$4:I$10000)</f>
        <v>0</v>
      </c>
    </row>
    <row r="26" spans="1:18" x14ac:dyDescent="0.35">
      <c r="A26" s="5" t="str">
        <f t="shared" si="3"/>
        <v>STEM</v>
      </c>
      <c r="B26" s="5" t="str">
        <f t="shared" si="12"/>
        <v>SPS2</v>
      </c>
      <c r="C26" s="5" t="str">
        <f t="shared" si="4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121.64758862965854</v>
      </c>
      <c r="G26" s="1" cm="1">
        <f t="array" ref="G26">SUMPRODUCT(("DSL"=[1]OUT_PrimaryEnergyCons!$C$4:$C$10000)*1,[1]OUT_PrimaryEnergyCons!E$4:E$10000)</f>
        <v>112.68599474003712</v>
      </c>
      <c r="H26" s="1" cm="1">
        <f t="array" ref="H26">SUMPRODUCT(("DSL"=[1]OUT_PrimaryEnergyCons!$C$4:$C$10000)*1,[1]OUT_PrimaryEnergyCons!F$4:F$10000)</f>
        <v>96.478282848762859</v>
      </c>
      <c r="I26" s="1" cm="1">
        <f t="array" ref="I26">SUMPRODUCT(("DSL"=[1]OUT_PrimaryEnergyCons!$C$4:$C$10000)*1,[1]OUT_PrimaryEnergyCons!G$4:G$10000)</f>
        <v>55.499006686379374</v>
      </c>
      <c r="J26" s="1" cm="1">
        <f t="array" ref="J26">SUMPRODUCT(("DSL"=[1]OUT_PrimaryEnergyCons!$C$4:$C$10000)*1,[1]OUT_PrimaryEnergyCons!H$4:H$10000)</f>
        <v>20.445674555921418</v>
      </c>
      <c r="K26" s="1" cm="1">
        <f t="array" ref="K26">SUMPRODUCT(("DSL"=[1]OUT_PrimaryEnergyCons!$C$4:$C$10000)*1,[1]OUT_PrimaryEnergyCons!I$4:I$10000)</f>
        <v>0</v>
      </c>
    </row>
    <row r="27" spans="1:18" x14ac:dyDescent="0.35">
      <c r="A27" s="5" t="str">
        <f t="shared" si="3"/>
        <v>STEM</v>
      </c>
      <c r="B27" s="5" t="str">
        <f t="shared" si="12"/>
        <v>SPS2</v>
      </c>
      <c r="C27" s="5" t="str">
        <f t="shared" si="4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78.466104888166868</v>
      </c>
      <c r="G27" s="1" cm="1">
        <f t="array" ref="G27">SUMPRODUCT(("GSL"=[1]OUT_PrimaryEnergyCons!$C$4:$C$10000)*1,[1]OUT_PrimaryEnergyCons!E$4:E$10000)</f>
        <v>76.476615103994703</v>
      </c>
      <c r="H27" s="1" cm="1">
        <f t="array" ref="H27">SUMPRODUCT(("GSL"=[1]OUT_PrimaryEnergyCons!$C$4:$C$10000)*1,[1]OUT_PrimaryEnergyCons!F$4:F$10000)</f>
        <v>72.940811434166065</v>
      </c>
      <c r="I27" s="1" cm="1">
        <f t="array" ref="I27">SUMPRODUCT(("GSL"=[1]OUT_PrimaryEnergyCons!$C$4:$C$10000)*1,[1]OUT_PrimaryEnergyCons!G$4:G$10000)</f>
        <v>38.214027615621234</v>
      </c>
      <c r="J27" s="1" cm="1">
        <f t="array" ref="J27">SUMPRODUCT(("GSL"=[1]OUT_PrimaryEnergyCons!$C$4:$C$10000)*1,[1]OUT_PrimaryEnergyCons!H$4:H$10000)</f>
        <v>2.6765459809539345</v>
      </c>
      <c r="K27" s="1" cm="1">
        <f t="array" ref="K27">SUMPRODUCT(("GSL"=[1]OUT_PrimaryEnergyCons!$C$4:$C$10000)*1,[1]OUT_PrimaryEnergyCons!I$4:I$10000)</f>
        <v>0</v>
      </c>
    </row>
    <row r="28" spans="1:18" x14ac:dyDescent="0.35">
      <c r="A28" s="5" t="str">
        <f t="shared" ref="A28" si="13">A27</f>
        <v>STEM</v>
      </c>
      <c r="B28" s="5" t="str">
        <f t="shared" si="12"/>
        <v>SPS2</v>
      </c>
      <c r="C28" s="5" t="str">
        <f t="shared" ref="C28" si="1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1.1093666203414991</v>
      </c>
      <c r="G28" s="1" cm="1">
        <f t="array" ref="G28">SUMPRODUCT(("KER"=[1]OUT_PrimaryEnergyCons!$C$4:$C$10000)*1,[1]OUT_PrimaryEnergyCons!E$4:E$10000)</f>
        <v>1.4050063353074913</v>
      </c>
      <c r="H28" s="1" cm="1">
        <f t="array" ref="H28">SUMPRODUCT(("KER"=[1]OUT_PrimaryEnergyCons!$C$4:$C$10000)*1,[1]OUT_PrimaryEnergyCons!F$4:F$10000)</f>
        <v>1.8434315008766184</v>
      </c>
      <c r="I28" s="1" cm="1">
        <f t="array" ref="I28">SUMPRODUCT(("KER"=[1]OUT_PrimaryEnergyCons!$C$4:$C$10000)*1,[1]OUT_PrimaryEnergyCons!G$4:G$10000)</f>
        <v>2.5702199528128182</v>
      </c>
      <c r="J28" s="1" cm="1">
        <f t="array" ref="J28">SUMPRODUCT(("KER"=[1]OUT_PrimaryEnergyCons!$C$4:$C$10000)*1,[1]OUT_PrimaryEnergyCons!H$4:H$10000)</f>
        <v>2.1091871352358993</v>
      </c>
      <c r="K28" s="1" cm="1">
        <f t="array" ref="K28">SUMPRODUCT(("KER"=[1]OUT_PrimaryEnergyCons!$C$4:$C$10000)*1,[1]OUT_PrimaryEnergyCons!I$4:I$10000)</f>
        <v>0</v>
      </c>
    </row>
    <row r="29" spans="1:18" x14ac:dyDescent="0.35">
      <c r="A29" s="5" t="str">
        <f>A48</f>
        <v>STEM</v>
      </c>
      <c r="B29" s="5" t="str">
        <f t="shared" si="12"/>
        <v>SPS2</v>
      </c>
      <c r="C29" s="5" t="str">
        <f>C48</f>
        <v>CH</v>
      </c>
      <c r="D29" t="s">
        <v>782</v>
      </c>
      <c r="E29" t="s">
        <v>8</v>
      </c>
      <c r="F29" s="1">
        <f>SUM(F30:F31)</f>
        <v>5.9601413237715528</v>
      </c>
      <c r="G29" s="1">
        <f t="shared" ref="G29:K29" si="15">SUM(G30:G31)</f>
        <v>5.9596731393071902</v>
      </c>
      <c r="H29" s="1">
        <f t="shared" si="15"/>
        <v>5.9597177436089188</v>
      </c>
      <c r="I29" s="1">
        <f t="shared" si="15"/>
        <v>9.651388381033625</v>
      </c>
      <c r="J29" s="1">
        <f t="shared" si="15"/>
        <v>30.944788483244746</v>
      </c>
      <c r="K29" s="1">
        <f t="shared" si="15"/>
        <v>69.861851505174187</v>
      </c>
    </row>
    <row r="30" spans="1:18" x14ac:dyDescent="0.35">
      <c r="A30" s="5" t="str">
        <f>A35</f>
        <v>STEM</v>
      </c>
      <c r="B30" s="5" t="str">
        <f t="shared" si="12"/>
        <v>SPS2</v>
      </c>
      <c r="C30" s="5" t="str">
        <f>C35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</f>
        <v>2.8772619344778949</v>
      </c>
      <c r="G30" s="1" cm="1">
        <f t="array" ref="G30">SUMPRODUCT(ISNUMBER(SEARCH("IMPBDS",[1]OUT_SyntheticFuels!$C$4:$C$1000))*1,("Var_Fout"=[1]OUT_SyntheticFuels!$B$4:$B$1000)*1,[1]OUT_SyntheticFuels!F$4:F$1000)</f>
        <v>1.8120741236159641</v>
      </c>
      <c r="H30" s="1" cm="1">
        <f t="array" ref="H30">SUMPRODUCT(ISNUMBER(SEARCH("IMPBDS",[1]OUT_SyntheticFuels!$C$4:$C$1000))*1,("Var_Fout"=[1]OUT_SyntheticFuels!$B$4:$B$1000)*1,[1]OUT_SyntheticFuels!G$4:G$1000)</f>
        <v>3.3314785464623751</v>
      </c>
      <c r="I30" s="1" cm="1">
        <f t="array" ref="I30">SUMPRODUCT(ISNUMBER(SEARCH("IMPBDS",[1]OUT_SyntheticFuels!$C$4:$C$1000))*1,("Var_Fout"=[1]OUT_SyntheticFuels!$B$4:$B$1000)*1,[1]OUT_SyntheticFuels!H$4:H$1000)</f>
        <v>6.5379602312423089</v>
      </c>
      <c r="J30" s="1" cm="1">
        <f t="array" ref="J30">SUMPRODUCT(ISNUMBER(SEARCH("IMPBDS",[1]OUT_SyntheticFuels!$C$4:$C$1000))*1,("Var_Fout"=[1]OUT_SyntheticFuels!$B$4:$B$1000)*1,[1]OUT_SyntheticFuels!I$4:I$1000)</f>
        <v>26.85652567684383</v>
      </c>
      <c r="K30" s="1" cm="1">
        <f t="array" ref="K30">SUMPRODUCT(ISNUMBER(SEARCH("IMPBDS",[1]OUT_SyntheticFuels!$C$4:$C$1000))*1,("Var_Fout"=[1]OUT_SyntheticFuels!$B$4:$B$1000)*1,[1]OUT_SyntheticFuels!J$4:J$1000)</f>
        <v>69.782923277926912</v>
      </c>
    </row>
    <row r="31" spans="1:18" x14ac:dyDescent="0.35">
      <c r="A31" s="5" t="str">
        <f>A30</f>
        <v>STEM</v>
      </c>
      <c r="B31" s="5" t="str">
        <f t="shared" si="12"/>
        <v>SPS2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3.0828793892936579</v>
      </c>
      <c r="G31" s="1" cm="1">
        <f t="array" ref="G31">SUMPRODUCT(ISNUMBER(SEARCH("IMPeth",[1]OUT_SyntheticFuels!$C$4:$C$1000))*1,("Var_Fout"=[1]OUT_SyntheticFuels!$B$4:$B$1000)*1,[1]OUT_SyntheticFuels!F$4:F$1000)</f>
        <v>4.1475990156912266</v>
      </c>
      <c r="H31" s="1" cm="1">
        <f t="array" ref="H31">SUMPRODUCT(ISNUMBER(SEARCH("IMPeth",[1]OUT_SyntheticFuels!$C$4:$C$1000))*1,("Var_Fout"=[1]OUT_SyntheticFuels!$B$4:$B$1000)*1,[1]OUT_SyntheticFuels!G$4:G$1000)</f>
        <v>2.6282391971465437</v>
      </c>
      <c r="I31" s="1" cm="1">
        <f t="array" ref="I31">SUMPRODUCT(ISNUMBER(SEARCH("IMPeth",[1]OUT_SyntheticFuels!$C$4:$C$1000))*1,("Var_Fout"=[1]OUT_SyntheticFuels!$B$4:$B$1000)*1,[1]OUT_SyntheticFuels!H$4:H$1000)</f>
        <v>3.1134281497913165</v>
      </c>
      <c r="J31" s="1" cm="1">
        <f t="array" ref="J31">SUMPRODUCT(ISNUMBER(SEARCH("IMPeth",[1]OUT_SyntheticFuels!$C$4:$C$1000))*1,("Var_Fout"=[1]OUT_SyntheticFuels!$B$4:$B$1000)*1,[1]OUT_SyntheticFuels!I$4:I$1000)</f>
        <v>4.0882628064009152</v>
      </c>
      <c r="K31" s="1" cm="1">
        <f t="array" ref="K31">SUMPRODUCT(ISNUMBER(SEARCH("IMPeth",[1]OUT_SyntheticFuels!$C$4:$C$1000))*1,("Var_Fout"=[1]OUT_SyntheticFuels!$B$4:$B$1000)*1,[1]OUT_SyntheticFuels!J$4:J$1000)</f>
        <v>7.8928227247275592E-2</v>
      </c>
    </row>
    <row r="32" spans="1:18" x14ac:dyDescent="0.35">
      <c r="A32" s="5" t="str">
        <f>A29</f>
        <v>STEM</v>
      </c>
      <c r="B32" s="5" t="str">
        <f t="shared" si="12"/>
        <v>SPS2</v>
      </c>
      <c r="C32" s="5" t="str">
        <f>C29</f>
        <v>CH</v>
      </c>
      <c r="D32" t="s">
        <v>532</v>
      </c>
      <c r="E32" t="s">
        <v>8</v>
      </c>
      <c r="F32" s="1">
        <f t="shared" ref="F32:K32" si="16">SUM(F33:F34)</f>
        <v>5.9601413237715528</v>
      </c>
      <c r="G32" s="1">
        <f t="shared" si="16"/>
        <v>5.9596731393071902</v>
      </c>
      <c r="H32" s="1">
        <f t="shared" si="16"/>
        <v>5.9597177436089188</v>
      </c>
      <c r="I32" s="1">
        <f t="shared" si="16"/>
        <v>9.651388381033625</v>
      </c>
      <c r="J32" s="1">
        <f t="shared" si="16"/>
        <v>10.626223037643225</v>
      </c>
      <c r="K32" s="1">
        <f t="shared" si="16"/>
        <v>26.935453904091105</v>
      </c>
    </row>
    <row r="33" spans="1:11" x14ac:dyDescent="0.35">
      <c r="A33" s="5" t="str">
        <f>A31</f>
        <v>STEM</v>
      </c>
      <c r="B33" s="5" t="str">
        <f t="shared" si="12"/>
        <v>SPS2</v>
      </c>
      <c r="C33" s="5" t="str">
        <f>C31</f>
        <v>CH</v>
      </c>
      <c r="D33" t="s">
        <v>533</v>
      </c>
      <c r="E33" t="s">
        <v>8</v>
      </c>
      <c r="F33" s="1">
        <f t="shared" ref="F33:I34" si="17">F30</f>
        <v>2.8772619344778949</v>
      </c>
      <c r="G33" s="1">
        <f t="shared" si="17"/>
        <v>1.8120741236159641</v>
      </c>
      <c r="H33" s="1">
        <f t="shared" si="17"/>
        <v>3.3314785464623751</v>
      </c>
      <c r="I33" s="1">
        <f t="shared" si="17"/>
        <v>6.5379602312423089</v>
      </c>
      <c r="J33" s="1">
        <f>IF(J30-MAX(F30:I30)&lt;0,J30,MAX(F30:I30))</f>
        <v>6.5379602312423089</v>
      </c>
      <c r="K33" s="1">
        <f>IF(K30-MAX(F30:J30)&lt;0,K30,MAX(F30:J30))</f>
        <v>26.85652567684383</v>
      </c>
    </row>
    <row r="34" spans="1:11" x14ac:dyDescent="0.35">
      <c r="A34" s="5" t="str">
        <f>A33</f>
        <v>STEM</v>
      </c>
      <c r="B34" s="5" t="str">
        <f t="shared" si="12"/>
        <v>SPS2</v>
      </c>
      <c r="C34" s="5" t="str">
        <f>C33</f>
        <v>CH</v>
      </c>
      <c r="D34" t="s">
        <v>534</v>
      </c>
      <c r="E34" t="s">
        <v>8</v>
      </c>
      <c r="F34" s="1">
        <f t="shared" si="17"/>
        <v>3.0828793892936579</v>
      </c>
      <c r="G34" s="1">
        <f t="shared" si="17"/>
        <v>4.1475990156912266</v>
      </c>
      <c r="H34" s="1">
        <f t="shared" si="17"/>
        <v>2.6282391971465437</v>
      </c>
      <c r="I34" s="1">
        <f t="shared" si="17"/>
        <v>3.1134281497913165</v>
      </c>
      <c r="J34" s="1">
        <f>IF(J31-MAX(F31:I31)&lt;0,J31,MAX(F31:I31))</f>
        <v>4.0882628064009152</v>
      </c>
      <c r="K34" s="1">
        <f>IF(K31-MAX(F31:J31)&lt;0,K31,MAX(F31:J31))</f>
        <v>7.8928227247275592E-2</v>
      </c>
    </row>
    <row r="35" spans="1:11" x14ac:dyDescent="0.35">
      <c r="A35" s="5" t="str">
        <f>A32</f>
        <v>STEM</v>
      </c>
      <c r="B35" s="5" t="str">
        <f t="shared" si="12"/>
        <v>SPS2</v>
      </c>
      <c r="C35" s="5" t="str">
        <f>C32</f>
        <v>CH</v>
      </c>
      <c r="D35" t="s">
        <v>783</v>
      </c>
      <c r="E35" t="s">
        <v>8</v>
      </c>
      <c r="F35" s="1">
        <f t="shared" ref="F35:K35" si="18">SUM(F36:F37)</f>
        <v>0</v>
      </c>
      <c r="G35" s="1">
        <f t="shared" si="18"/>
        <v>0</v>
      </c>
      <c r="H35" s="1">
        <f t="shared" si="18"/>
        <v>0</v>
      </c>
      <c r="I35" s="1">
        <f t="shared" si="18"/>
        <v>0</v>
      </c>
      <c r="J35" s="1">
        <f t="shared" si="18"/>
        <v>20.318565445601521</v>
      </c>
      <c r="K35" s="1">
        <f t="shared" si="18"/>
        <v>42.926397601083082</v>
      </c>
    </row>
    <row r="36" spans="1:11" x14ac:dyDescent="0.35">
      <c r="A36" s="5" t="str">
        <f>A34</f>
        <v>STEM</v>
      </c>
      <c r="B36" s="5" t="str">
        <f t="shared" si="12"/>
        <v>SPS2</v>
      </c>
      <c r="C36" s="5" t="str">
        <f>C34</f>
        <v>CH</v>
      </c>
      <c r="D36" t="s">
        <v>535</v>
      </c>
      <c r="E36" t="s">
        <v>8</v>
      </c>
      <c r="F36" s="1">
        <v>0</v>
      </c>
      <c r="G36" s="1">
        <v>0</v>
      </c>
      <c r="H36" s="1">
        <v>0</v>
      </c>
      <c r="I36" s="1">
        <v>0</v>
      </c>
      <c r="J36" s="1">
        <f>J30-J33</f>
        <v>20.318565445601521</v>
      </c>
      <c r="K36" s="1">
        <f>K30-K33</f>
        <v>42.926397601083082</v>
      </c>
    </row>
    <row r="37" spans="1:11" x14ac:dyDescent="0.35">
      <c r="A37" s="5" t="str">
        <f>A36</f>
        <v>STEM</v>
      </c>
      <c r="B37" s="5" t="str">
        <f t="shared" si="12"/>
        <v>SPS2</v>
      </c>
      <c r="C37" s="5" t="str">
        <f>C36</f>
        <v>CH</v>
      </c>
      <c r="D37" t="s">
        <v>536</v>
      </c>
      <c r="E37" t="s">
        <v>8</v>
      </c>
      <c r="F37" s="1">
        <v>0</v>
      </c>
      <c r="G37" s="1">
        <v>0</v>
      </c>
      <c r="H37" s="1">
        <v>0</v>
      </c>
      <c r="I37" s="1">
        <v>0</v>
      </c>
      <c r="J37" s="1">
        <f>J31-J34</f>
        <v>0</v>
      </c>
      <c r="K37" s="1">
        <f>K31-K34</f>
        <v>0</v>
      </c>
    </row>
    <row r="38" spans="1:11" x14ac:dyDescent="0.35">
      <c r="A38" s="5"/>
      <c r="B38" s="5" t="str">
        <f t="shared" si="12"/>
        <v>SPS2</v>
      </c>
      <c r="C38" s="5" t="str">
        <f>C37</f>
        <v>CH</v>
      </c>
      <c r="D38" t="s">
        <v>537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35">
      <c r="A39" s="5" t="str">
        <f t="shared" ref="A39:C40" si="19">A28</f>
        <v>STEM</v>
      </c>
      <c r="B39" s="5" t="str">
        <f t="shared" si="12"/>
        <v>SPS2</v>
      </c>
      <c r="C39" s="5" t="str">
        <f t="shared" si="19"/>
        <v>CH</v>
      </c>
      <c r="D39" t="s">
        <v>784</v>
      </c>
      <c r="E39" t="s">
        <v>8</v>
      </c>
      <c r="F39" s="1">
        <f>F40+F43</f>
        <v>117.2508369454024</v>
      </c>
      <c r="G39" s="1">
        <f t="shared" ref="G39:K39" si="20">G40+G43</f>
        <v>106.72048805495892</v>
      </c>
      <c r="H39" s="1">
        <f t="shared" si="20"/>
        <v>99.004318783953778</v>
      </c>
      <c r="I39" s="1">
        <f t="shared" si="20"/>
        <v>77.594713662610701</v>
      </c>
      <c r="J39" s="1">
        <f t="shared" si="20"/>
        <v>21.980535307562359</v>
      </c>
      <c r="K39" s="1">
        <f t="shared" si="20"/>
        <v>2.8259319821987946E-4</v>
      </c>
    </row>
    <row r="40" spans="1:11" x14ac:dyDescent="0.35">
      <c r="A40" s="5" t="str">
        <f t="shared" si="19"/>
        <v>STEM</v>
      </c>
      <c r="B40" s="5" t="str">
        <f t="shared" si="12"/>
        <v>SPS2</v>
      </c>
      <c r="C40" s="5" t="str">
        <f t="shared" si="19"/>
        <v>CH</v>
      </c>
      <c r="D40" t="s">
        <v>549</v>
      </c>
      <c r="E40" t="s">
        <v>8</v>
      </c>
      <c r="F40" s="1">
        <f>F41+F42</f>
        <v>117.2508369454024</v>
      </c>
      <c r="G40" s="1">
        <f t="shared" ref="G40:K40" si="21">G41+G42</f>
        <v>106.72002251896113</v>
      </c>
      <c r="H40" s="1">
        <f t="shared" si="21"/>
        <v>99.003901385959068</v>
      </c>
      <c r="I40" s="1">
        <f t="shared" si="21"/>
        <v>77.076658679987361</v>
      </c>
      <c r="J40" s="1">
        <f t="shared" si="21"/>
        <v>21.583239394122696</v>
      </c>
      <c r="K40" s="1">
        <f t="shared" si="21"/>
        <v>9.5034918813547542E-5</v>
      </c>
    </row>
    <row r="41" spans="1:11" x14ac:dyDescent="0.35">
      <c r="A41" s="5" t="str">
        <f>A27</f>
        <v>STEM</v>
      </c>
      <c r="B41" s="5" t="str">
        <f t="shared" si="12"/>
        <v>SPS2</v>
      </c>
      <c r="C41" s="5" t="str">
        <f>C27</f>
        <v>CH</v>
      </c>
      <c r="D41" t="s">
        <v>550</v>
      </c>
      <c r="E41" t="s">
        <v>8</v>
      </c>
      <c r="F41" s="1" cm="1">
        <f t="array" ref="F41">SUMPRODUCT(("NGA"=[1]OUT_PrimaryEnergyCons!$C$4:$C$10000)*1,[1]OUT_PrimaryEnergyCons!D$4:D$10000)</f>
        <v>117.2508369454024</v>
      </c>
      <c r="G41" s="1" cm="1">
        <f t="array" ref="G41">SUMPRODUCT(("NGA"=[1]OUT_PrimaryEnergyCons!$C$4:$C$10000)*1,[1]OUT_PrimaryEnergyCons!E$4:E$10000)</f>
        <v>106.72002251896113</v>
      </c>
      <c r="H41" s="1" cm="1">
        <f t="array" ref="H41">SUMPRODUCT(("NGA"=[1]OUT_PrimaryEnergyCons!$C$4:$C$10000)*1,[1]OUT_PrimaryEnergyCons!F$4:F$10000)</f>
        <v>99.003901385959068</v>
      </c>
      <c r="I41" s="1" cm="1">
        <f t="array" ref="I41">SUMPRODUCT(("NGA"=[1]OUT_PrimaryEnergyCons!$C$4:$C$10000)*1,[1]OUT_PrimaryEnergyCons!G$4:G$10000)</f>
        <v>77.071912118025338</v>
      </c>
      <c r="J41" s="1" cm="1">
        <f t="array" ref="J41">SUMPRODUCT(("NGA"=[1]OUT_PrimaryEnergyCons!$C$4:$C$10000)*1,[1]OUT_PrimaryEnergyCons!H$4:H$10000)</f>
        <v>21.577171349557148</v>
      </c>
      <c r="K41" s="1" cm="1">
        <f t="array" ref="K41">SUMPRODUCT(("NGA"=[1]OUT_PrimaryEnergyCons!$C$4:$C$10000)*1,[1]OUT_PrimaryEnergyCons!I$4:I$10000)</f>
        <v>2.545013271407467E-5</v>
      </c>
    </row>
    <row r="42" spans="1:11" x14ac:dyDescent="0.35">
      <c r="A42" s="5" t="str">
        <f t="shared" si="3"/>
        <v>STEM</v>
      </c>
      <c r="B42" s="5" t="str">
        <f t="shared" si="12"/>
        <v>SPS2</v>
      </c>
      <c r="C42" s="5" t="str">
        <f t="shared" si="4"/>
        <v>CH</v>
      </c>
      <c r="D42" t="s">
        <v>551</v>
      </c>
      <c r="E42" t="s">
        <v>8</v>
      </c>
      <c r="F42" s="1" cm="1">
        <f t="array" ref="F42">SUMPRODUCT(("LNGA"=[1]OUT_PrimaryEnergyCons!$C$4:$C$10000)*1,[1]OUT_PrimaryEnergyCons!D$4:D$10000)</f>
        <v>0</v>
      </c>
      <c r="G42" s="1" cm="1">
        <f t="array" ref="G42">SUMPRODUCT(("LNGA"=[1]OUT_PrimaryEnergyCons!$C$4:$C$10000)*1,[1]OUT_PrimaryEnergyCons!E$4:E$10000)</f>
        <v>0</v>
      </c>
      <c r="H42" s="1" cm="1">
        <f t="array" ref="H42">SUMPRODUCT(("LNGA"=[1]OUT_PrimaryEnergyCons!$C$4:$C$10000)*1,[1]OUT_PrimaryEnergyCons!F$4:F$10000)</f>
        <v>0</v>
      </c>
      <c r="I42" s="1" cm="1">
        <f t="array" ref="I42">SUMPRODUCT(("LNGA"=[1]OUT_PrimaryEnergyCons!$C$4:$C$10000)*1,[1]OUT_PrimaryEnergyCons!G$4:G$10000)</f>
        <v>4.746561962029652E-3</v>
      </c>
      <c r="J42" s="1" cm="1">
        <f t="array" ref="J42">SUMPRODUCT(("LNGA"=[1]OUT_PrimaryEnergyCons!$C$4:$C$10000)*1,[1]OUT_PrimaryEnergyCons!H$4:H$10000)</f>
        <v>6.0680445655471593E-3</v>
      </c>
      <c r="K42" s="1" cm="1">
        <f t="array" ref="K42">SUMPRODUCT(("LNGA"=[1]OUT_PrimaryEnergyCons!$C$4:$C$10000)*1,[1]OUT_PrimaryEnergyCons!I$4:I$10000)</f>
        <v>6.9584786099472873E-5</v>
      </c>
    </row>
    <row r="43" spans="1:11" x14ac:dyDescent="0.35">
      <c r="A43" s="5" t="str">
        <f>A37</f>
        <v>STEM</v>
      </c>
      <c r="B43" s="5" t="str">
        <f t="shared" si="12"/>
        <v>SPS2</v>
      </c>
      <c r="C43" s="5" t="str">
        <f>C37</f>
        <v>CH</v>
      </c>
      <c r="D43" t="s">
        <v>785</v>
      </c>
      <c r="E43" t="s">
        <v>8</v>
      </c>
      <c r="F43" s="1" cm="1">
        <f t="array" ref="F43">SUMPRODUCT(("BIO"=[1]OUT_PrimaryEnergyCons!$C$4:$C$10000)*1+("LBIO"=[1]OUT_PrimaryEnergyCons!$C$4:$C$10000)*1,[1]OUT_PrimaryEnergyCons!D$4:D$10000)</f>
        <v>0</v>
      </c>
      <c r="G43" s="1" cm="1">
        <f t="array" ref="G43">SUMPRODUCT(("BIO"=[1]OUT_PrimaryEnergyCons!$C$4:$C$10000)*1+("LBIO"=[1]OUT_PrimaryEnergyCons!$C$4:$C$10000)*1,[1]OUT_PrimaryEnergyCons!E$4:E$10000)</f>
        <v>4.6553599779240371E-4</v>
      </c>
      <c r="H43" s="1" cm="1">
        <f t="array" ref="H43">SUMPRODUCT(("BIO"=[1]OUT_PrimaryEnergyCons!$C$4:$C$10000)*1+("LBIO"=[1]OUT_PrimaryEnergyCons!$C$4:$C$10000)*1,[1]OUT_PrimaryEnergyCons!F$4:F$10000)</f>
        <v>4.1739799471019574E-4</v>
      </c>
      <c r="I43" s="1" cm="1">
        <f t="array" ref="I43">SUMPRODUCT(("BIO"=[1]OUT_PrimaryEnergyCons!$C$4:$C$10000)*1+("LBIO"=[1]OUT_PrimaryEnergyCons!$C$4:$C$10000)*1,[1]OUT_PrimaryEnergyCons!G$4:G$10000)</f>
        <v>0.51805498262333394</v>
      </c>
      <c r="J43" s="1" cm="1">
        <f t="array" ref="J43">SUMPRODUCT(("BIO"=[1]OUT_PrimaryEnergyCons!$C$4:$C$10000)*1+("LBIO"=[1]OUT_PrimaryEnergyCons!$C$4:$C$10000)*1,[1]OUT_PrimaryEnergyCons!H$4:H$10000)</f>
        <v>0.39729591343966275</v>
      </c>
      <c r="K43" s="1" cm="1">
        <f t="array" ref="K43">SUMPRODUCT(("BIO"=[1]OUT_PrimaryEnergyCons!$C$4:$C$10000)*1+("LBIO"=[1]OUT_PrimaryEnergyCons!$C$4:$C$10000)*1,[1]OUT_PrimaryEnergyCons!I$4:I$10000)</f>
        <v>1.8755827940633194E-4</v>
      </c>
    </row>
    <row r="44" spans="1:11" x14ac:dyDescent="0.35">
      <c r="A44" s="5" t="str">
        <f t="shared" ref="A44:C45" si="22">A43</f>
        <v>STEM</v>
      </c>
      <c r="B44" s="5" t="str">
        <f t="shared" si="12"/>
        <v>SPS2</v>
      </c>
      <c r="C44" s="5" t="str">
        <f t="shared" si="22"/>
        <v>CH</v>
      </c>
      <c r="D44" t="s">
        <v>786</v>
      </c>
      <c r="E44" t="s">
        <v>8</v>
      </c>
      <c r="F44" s="1">
        <f t="shared" ref="F44:K44" si="23">F45</f>
        <v>0</v>
      </c>
      <c r="G44" s="1">
        <f t="shared" si="23"/>
        <v>4.6553599779240371E-4</v>
      </c>
      <c r="H44" s="1">
        <f t="shared" si="23"/>
        <v>4.1739799471019574E-4</v>
      </c>
      <c r="I44" s="1">
        <f t="shared" si="23"/>
        <v>0.51805498262333394</v>
      </c>
      <c r="J44" s="1">
        <f t="shared" si="23"/>
        <v>0.39729591343966275</v>
      </c>
      <c r="K44" s="1">
        <f t="shared" si="23"/>
        <v>1.8755827940633194E-4</v>
      </c>
    </row>
    <row r="45" spans="1:11" x14ac:dyDescent="0.35">
      <c r="A45" s="5" t="str">
        <f t="shared" si="22"/>
        <v>STEM</v>
      </c>
      <c r="B45" s="5" t="str">
        <f t="shared" si="12"/>
        <v>SPS2</v>
      </c>
      <c r="C45" s="5" t="str">
        <f t="shared" si="22"/>
        <v>CH</v>
      </c>
      <c r="D45" t="s">
        <v>611</v>
      </c>
      <c r="E45" t="s">
        <v>8</v>
      </c>
      <c r="F45" s="1">
        <f>F43</f>
        <v>0</v>
      </c>
      <c r="G45" s="1">
        <f>G43</f>
        <v>4.6553599779240371E-4</v>
      </c>
      <c r="H45" s="1">
        <f>H43</f>
        <v>4.1739799471019574E-4</v>
      </c>
      <c r="I45" s="1">
        <f>I43</f>
        <v>0.51805498262333394</v>
      </c>
      <c r="J45" s="1">
        <f>IF(J43-MAX(F43:I43)&lt;0,J43,MAX(F43:I43))</f>
        <v>0.39729591343966275</v>
      </c>
      <c r="K45" s="1">
        <f>IF(K43-MAX(G43:J43)&lt;0,K43,MAX(G43:J43))</f>
        <v>1.8755827940633194E-4</v>
      </c>
    </row>
    <row r="46" spans="1:11" x14ac:dyDescent="0.35">
      <c r="A46" s="5" t="str">
        <f>A44</f>
        <v>STEM</v>
      </c>
      <c r="B46" s="5" t="str">
        <f t="shared" si="12"/>
        <v>SPS2</v>
      </c>
      <c r="C46" s="5" t="str">
        <f>C44</f>
        <v>CH</v>
      </c>
      <c r="D46" t="s">
        <v>787</v>
      </c>
      <c r="E46" t="s">
        <v>8</v>
      </c>
      <c r="F46" s="1">
        <f t="shared" ref="F46:K46" si="24">F47</f>
        <v>0</v>
      </c>
      <c r="G46" s="1">
        <f t="shared" si="24"/>
        <v>0</v>
      </c>
      <c r="H46" s="1">
        <f t="shared" si="24"/>
        <v>0</v>
      </c>
      <c r="I46" s="1">
        <f t="shared" si="24"/>
        <v>0</v>
      </c>
      <c r="J46" s="1">
        <f t="shared" si="24"/>
        <v>0</v>
      </c>
      <c r="K46" s="1">
        <f t="shared" si="24"/>
        <v>0</v>
      </c>
    </row>
    <row r="47" spans="1:11" x14ac:dyDescent="0.35">
      <c r="A47" s="5" t="str">
        <f t="shared" ref="A47" si="25">A45</f>
        <v>STEM</v>
      </c>
      <c r="B47" s="5" t="str">
        <f t="shared" si="12"/>
        <v>SPS2</v>
      </c>
      <c r="C47" s="5" t="str">
        <f t="shared" ref="C47" si="26">C45</f>
        <v>CH</v>
      </c>
      <c r="D47" t="s">
        <v>612</v>
      </c>
      <c r="E47" t="s">
        <v>8</v>
      </c>
      <c r="F47" s="1">
        <v>0</v>
      </c>
      <c r="G47" s="1">
        <v>0</v>
      </c>
      <c r="H47" s="1">
        <v>0</v>
      </c>
      <c r="I47" s="1">
        <v>0</v>
      </c>
      <c r="J47" s="1">
        <f>J43-J45</f>
        <v>0</v>
      </c>
      <c r="K47" s="1">
        <f>K43-K45</f>
        <v>0</v>
      </c>
    </row>
    <row r="48" spans="1:11" x14ac:dyDescent="0.35">
      <c r="A48" s="5" t="str">
        <f>A42</f>
        <v>STEM</v>
      </c>
      <c r="B48" s="5" t="str">
        <f t="shared" si="12"/>
        <v>SPS2</v>
      </c>
      <c r="C48" s="5" t="str">
        <f>C42</f>
        <v>CH</v>
      </c>
      <c r="D48" t="s">
        <v>788</v>
      </c>
      <c r="E48" t="s">
        <v>8</v>
      </c>
      <c r="F48" s="1" cm="1">
        <f t="array" ref="F48">SUMPRODUCT(("urn"=[1]OUT_PrimaryEnergyCons!$C$4:$C$10000)*1,[1]OUT_PrimaryEnergyCons!D$4:D$10000)</f>
        <v>250.94828863526809</v>
      </c>
      <c r="G48" s="1" cm="1">
        <f t="array" ref="G48">SUMPRODUCT(("urn"=[1]OUT_PrimaryEnergyCons!$C$4:$C$10000)*1,[1]OUT_PrimaryEnergyCons!E$4:E$10000)</f>
        <v>253.29954054305796</v>
      </c>
      <c r="H48" s="1" cm="1">
        <f t="array" ref="H48">SUMPRODUCT(("urn"=[1]OUT_PrimaryEnergyCons!$C$4:$C$10000)*1,[1]OUT_PrimaryEnergyCons!F$4:F$10000)</f>
        <v>206.09702330408183</v>
      </c>
      <c r="I48" s="1" cm="1">
        <f t="array" ref="I48">SUMPRODUCT(("urn"=[1]OUT_PrimaryEnergyCons!$C$4:$C$10000)*1,[1]OUT_PrimaryEnergyCons!G$4:G$10000)</f>
        <v>211.82407765614377</v>
      </c>
      <c r="J48" s="1" cm="1">
        <f t="array" ref="J48">SUMPRODUCT(("urn"=[1]OUT_PrimaryEnergyCons!$C$4:$C$10000)*1,[1]OUT_PrimaryEnergyCons!H$4:H$10000)</f>
        <v>98.945514584658667</v>
      </c>
      <c r="K48" s="1" cm="1">
        <f t="array" ref="K48">SUMPRODUCT(("urn"=[1]OUT_PrimaryEnergyCons!$C$4:$C$10000)*1,[1]OUT_PrimaryEnergyCons!I$4:I$10000)</f>
        <v>0</v>
      </c>
    </row>
    <row r="49" spans="1:19" x14ac:dyDescent="0.35">
      <c r="A49" s="5" t="str">
        <f>A37</f>
        <v>STEM</v>
      </c>
      <c r="B49" s="5" t="str">
        <f t="shared" si="12"/>
        <v>SPS2</v>
      </c>
      <c r="C49" s="5" t="str">
        <f>C37</f>
        <v>CH</v>
      </c>
      <c r="D49" t="s">
        <v>789</v>
      </c>
      <c r="E49" t="s">
        <v>8</v>
      </c>
      <c r="F49" s="1">
        <f>SUM(F50:F53)</f>
        <v>97.160085619138698</v>
      </c>
      <c r="G49" s="1">
        <f t="shared" ref="G49:K49" si="27">SUM(G50:G53)</f>
        <v>50.276879666992635</v>
      </c>
      <c r="H49" s="1">
        <f t="shared" si="27"/>
        <v>50.452825728862258</v>
      </c>
      <c r="I49" s="1">
        <f t="shared" si="27"/>
        <v>50.721836233062049</v>
      </c>
      <c r="J49" s="1">
        <f t="shared" si="27"/>
        <v>23.120858177967868</v>
      </c>
      <c r="K49" s="1">
        <f t="shared" si="27"/>
        <v>18.246345281638806</v>
      </c>
    </row>
    <row r="50" spans="1:19" x14ac:dyDescent="0.35">
      <c r="A50" s="5" t="str">
        <f t="shared" si="3"/>
        <v>STEM</v>
      </c>
      <c r="B50" s="5" t="str">
        <f t="shared" si="12"/>
        <v>SPS2</v>
      </c>
      <c r="C50" s="5" t="str">
        <f t="shared" si="4"/>
        <v>CH</v>
      </c>
      <c r="D50" t="s">
        <v>20</v>
      </c>
      <c r="E50" t="s">
        <v>8</v>
      </c>
      <c r="F50" s="1" cm="1">
        <f t="array" ref="F50">SUMPRODUCT(([1]OUT_Electricity_CHP!$B$1:$B$10000="G-INTC-IMP00-AT")*1,([1]OUT_Electricity_CHP!$C$1:$C$10000="Var_Fout")*1,ISNUMBER(SEARCH("ELC",[1]OUT_Electricity_CHP!$D$1:$D$10000))*1,[1]OUT_Electricity_CHP!E$1:E$10000)</f>
        <v>15.013832461361549</v>
      </c>
      <c r="G50" s="1" cm="1">
        <f t="array" ref="G50">SUMPRODUCT(([1]OUT_Electricity_CHP!$B$1:$B$10000="G-INTC-IMP00-AT")*1,([1]OUT_Electricity_CHP!$C$1:$C$10000="Var_Fout")*1,ISNUMBER(SEARCH("ELC",[1]OUT_Electricity_CHP!$D$1:$D$10000))*1,[1]OUT_Electricity_CHP!F$1:F$10000)</f>
        <v>5.2949950970727411E-2</v>
      </c>
      <c r="H50" s="1" cm="1">
        <f t="array" ref="H50">SUMPRODUCT(([1]OUT_Electricity_CHP!$B$1:$B$10000="G-INTC-IMP00-AT")*1,([1]OUT_Electricity_CHP!$C$1:$C$10000="Var_Fout")*1,ISNUMBER(SEARCH("ELC",[1]OUT_Electricity_CHP!$D$1:$D$10000))*1,[1]OUT_Electricity_CHP!G$1:G$10000)</f>
        <v>3.3275048685710976E-2</v>
      </c>
      <c r="I50" s="1" cm="1">
        <f t="array" ref="I50">SUMPRODUCT(([1]OUT_Electricity_CHP!$B$1:$B$10000="G-INTC-IMP00-AT")*1,([1]OUT_Electricity_CHP!$C$1:$C$10000="Var_Fout")*1,ISNUMBER(SEARCH("ELC",[1]OUT_Electricity_CHP!$D$1:$D$10000))*1,[1]OUT_Electricity_CHP!H$1:H$10000)</f>
        <v>2.1625234174090454E-2</v>
      </c>
      <c r="J50" s="1" cm="1">
        <f t="array" ref="J50">SUMPRODUCT(([1]OUT_Electricity_CHP!$B$1:$B$10000="G-INTC-IMP00-AT")*1,([1]OUT_Electricity_CHP!$C$1:$C$10000="Var_Fout")*1,ISNUMBER(SEARCH("ELC",[1]OUT_Electricity_CHP!$D$1:$D$10000))*1,[1]OUT_Electricity_CHP!I$1:I$10000)</f>
        <v>1.0500592290962667E-2</v>
      </c>
      <c r="K50" s="1" cm="1">
        <f t="array" ref="K50">SUMPRODUCT(([1]OUT_Electricity_CHP!$B$1:$B$10000="G-INTC-IMP00-AT")*1,([1]OUT_Electricity_CHP!$C$1:$C$10000="Var_Fout")*1,ISNUMBER(SEARCH("ELC",[1]OUT_Electricity_CHP!$D$1:$D$10000))*1,[1]OUT_Electricity_CHP!J$1:J$10000)</f>
        <v>6.4965324043206447</v>
      </c>
    </row>
    <row r="51" spans="1:19" x14ac:dyDescent="0.35">
      <c r="A51" s="5" t="str">
        <f t="shared" si="3"/>
        <v>STEM</v>
      </c>
      <c r="B51" s="5" t="str">
        <f t="shared" si="12"/>
        <v>SPS2</v>
      </c>
      <c r="C51" s="5" t="str">
        <f t="shared" si="4"/>
        <v>CH</v>
      </c>
      <c r="D51" t="s">
        <v>21</v>
      </c>
      <c r="E51" t="s">
        <v>8</v>
      </c>
      <c r="F51" s="1" cm="1">
        <f t="array" ref="F51">SUMPRODUCT(([1]OUT_Electricity_CHP!$B$1:$B$10000="G-INTC-IMP00-fr")*1,([1]OUT_Electricity_CHP!$C$1:$C$10000="Var_Fout")*1,ISNUMBER(SEARCH("ELC",[1]OUT_Electricity_CHP!$D$1:$D$10000))*1,[1]OUT_Electricity_CHP!E$1:E$10000)</f>
        <v>28.9486469346562</v>
      </c>
      <c r="G51" s="1" cm="1">
        <f t="array" ref="G51">SUMPRODUCT(([1]OUT_Electricity_CHP!$B$1:$B$10000="G-INTC-IMP00-fr")*1,([1]OUT_Electricity_CHP!$C$1:$C$10000="Var_Fout")*1,ISNUMBER(SEARCH("ELC",[1]OUT_Electricity_CHP!$D$1:$D$10000))*1,[1]OUT_Electricity_CHP!F$1:F$10000)</f>
        <v>21.730335825157798</v>
      </c>
      <c r="H51" s="1" cm="1">
        <f t="array" ref="H51">SUMPRODUCT(([1]OUT_Electricity_CHP!$B$1:$B$10000="G-INTC-IMP00-fr")*1,([1]OUT_Electricity_CHP!$C$1:$C$10000="Var_Fout")*1,ISNUMBER(SEARCH("ELC",[1]OUT_Electricity_CHP!$D$1:$D$10000))*1,[1]OUT_Electricity_CHP!G$1:G$10000)</f>
        <v>26.08301318727289</v>
      </c>
      <c r="I51" s="1" cm="1">
        <f t="array" ref="I51">SUMPRODUCT(([1]OUT_Electricity_CHP!$B$1:$B$10000="G-INTC-IMP00-fr")*1,([1]OUT_Electricity_CHP!$C$1:$C$10000="Var_Fout")*1,ISNUMBER(SEARCH("ELC",[1]OUT_Electricity_CHP!$D$1:$D$10000))*1,[1]OUT_Electricity_CHP!H$1:H$10000)</f>
        <v>18.261720076961996</v>
      </c>
      <c r="J51" s="1" cm="1">
        <f t="array" ref="J51">SUMPRODUCT(([1]OUT_Electricity_CHP!$B$1:$B$10000="G-INTC-IMP00-fr")*1,([1]OUT_Electricity_CHP!$C$1:$C$10000="Var_Fout")*1,ISNUMBER(SEARCH("ELC",[1]OUT_Electricity_CHP!$D$1:$D$10000))*1,[1]OUT_Electricity_CHP!I$1:I$10000)</f>
        <v>9.2698333362317058</v>
      </c>
      <c r="K51" s="1" cm="1">
        <f t="array" ref="K51">SUMPRODUCT(([1]OUT_Electricity_CHP!$B$1:$B$10000="G-INTC-IMP00-fr")*1,([1]OUT_Electricity_CHP!$C$1:$C$10000="Var_Fout")*1,ISNUMBER(SEARCH("ELC",[1]OUT_Electricity_CHP!$D$1:$D$10000))*1,[1]OUT_Electricity_CHP!J$1:J$10000)</f>
        <v>7.1266271128429493</v>
      </c>
    </row>
    <row r="52" spans="1:19" x14ac:dyDescent="0.35">
      <c r="A52" s="5" t="str">
        <f t="shared" si="3"/>
        <v>STEM</v>
      </c>
      <c r="B52" s="5" t="str">
        <f t="shared" si="12"/>
        <v>SPS2</v>
      </c>
      <c r="C52" s="5" t="str">
        <f t="shared" si="4"/>
        <v>CH</v>
      </c>
      <c r="D52" t="s">
        <v>22</v>
      </c>
      <c r="E52" t="s">
        <v>8</v>
      </c>
      <c r="F52" s="1" cm="1">
        <f t="array" ref="F52">SUMPRODUCT(([1]OUT_Electricity_CHP!$B$1:$B$10000="G-INTC-IMP00-de")*1,([1]OUT_Electricity_CHP!$C$1:$C$10000="Var_Fout")*1,ISNUMBER(SEARCH("ELC",[1]OUT_Electricity_CHP!$D$1:$D$10000))*1,[1]OUT_Electricity_CHP!E$1:E$10000)</f>
        <v>46.398500037170123</v>
      </c>
      <c r="G52" s="1" cm="1">
        <f t="array" ref="G52">SUMPRODUCT(([1]OUT_Electricity_CHP!$B$1:$B$10000="G-INTC-IMP00-de")*1,([1]OUT_Electricity_CHP!$C$1:$C$10000="Var_Fout")*1,ISNUMBER(SEARCH("ELC",[1]OUT_Electricity_CHP!$D$1:$D$10000))*1,[1]OUT_Electricity_CHP!F$1:F$10000)</f>
        <v>28.492116506512957</v>
      </c>
      <c r="H52" s="1" cm="1">
        <f t="array" ref="H52">SUMPRODUCT(([1]OUT_Electricity_CHP!$B$1:$B$10000="G-INTC-IMP00-de")*1,([1]OUT_Electricity_CHP!$C$1:$C$10000="Var_Fout")*1,ISNUMBER(SEARCH("ELC",[1]OUT_Electricity_CHP!$D$1:$D$10000))*1,[1]OUT_Electricity_CHP!G$1:G$10000)</f>
        <v>24.335243056635694</v>
      </c>
      <c r="I52" s="1" cm="1">
        <f t="array" ref="I52">SUMPRODUCT(([1]OUT_Electricity_CHP!$B$1:$B$10000="G-INTC-IMP00-de")*1,([1]OUT_Electricity_CHP!$C$1:$C$10000="Var_Fout")*1,ISNUMBER(SEARCH("ELC",[1]OUT_Electricity_CHP!$D$1:$D$10000))*1,[1]OUT_Electricity_CHP!H$1:H$10000)</f>
        <v>32.437866097606076</v>
      </c>
      <c r="J52" s="1" cm="1">
        <f t="array" ref="J52">SUMPRODUCT(([1]OUT_Electricity_CHP!$B$1:$B$10000="G-INTC-IMP00-de")*1,([1]OUT_Electricity_CHP!$C$1:$C$10000="Var_Fout")*1,ISNUMBER(SEARCH("ELC",[1]OUT_Electricity_CHP!$D$1:$D$10000))*1,[1]OUT_Electricity_CHP!I$1:I$10000)</f>
        <v>13.839922435325898</v>
      </c>
      <c r="K52" s="1" cm="1">
        <f t="array" ref="K52">SUMPRODUCT(([1]OUT_Electricity_CHP!$B$1:$B$10000="G-INTC-IMP00-de")*1,([1]OUT_Electricity_CHP!$C$1:$C$10000="Var_Fout")*1,ISNUMBER(SEARCH("ELC",[1]OUT_Electricity_CHP!$D$1:$D$10000))*1,[1]OUT_Electricity_CHP!J$1:J$10000)</f>
        <v>4.6227252277786501</v>
      </c>
    </row>
    <row r="53" spans="1:19" x14ac:dyDescent="0.35">
      <c r="A53" s="5" t="str">
        <f t="shared" si="3"/>
        <v>STEM</v>
      </c>
      <c r="B53" s="5" t="str">
        <f t="shared" si="12"/>
        <v>SPS2</v>
      </c>
      <c r="C53" s="5" t="str">
        <f t="shared" si="4"/>
        <v>CH</v>
      </c>
      <c r="D53" t="s">
        <v>23</v>
      </c>
      <c r="E53" t="s">
        <v>8</v>
      </c>
      <c r="F53" s="1" cm="1">
        <f t="array" ref="F53">SUMPRODUCT(([1]OUT_Electricity_CHP!$B$1:$B$10000="G-INTC-IMP00-it")*1,([1]OUT_Electricity_CHP!$C$1:$C$10000="Var_Fout")*1,ISNUMBER(SEARCH("ELC",[1]OUT_Electricity_CHP!$D$1:$D$10000))*1,[1]OUT_Electricity_CHP!E$1:E$10000)</f>
        <v>6.7991061859508157</v>
      </c>
      <c r="G53" s="1" cm="1">
        <f t="array" ref="G53">SUMPRODUCT(([1]OUT_Electricity_CHP!$B$1:$B$10000="G-INTC-IMP00-it")*1,([1]OUT_Electricity_CHP!$C$1:$C$10000="Var_Fout")*1,ISNUMBER(SEARCH("ELC",[1]OUT_Electricity_CHP!$D$1:$D$10000))*1,[1]OUT_Electricity_CHP!F$1:F$10000)</f>
        <v>1.4773843511531705E-3</v>
      </c>
      <c r="H53" s="1" cm="1">
        <f t="array" ref="H53">SUMPRODUCT(([1]OUT_Electricity_CHP!$B$1:$B$10000="G-INTC-IMP00-it")*1,([1]OUT_Electricity_CHP!$C$1:$C$10000="Var_Fout")*1,ISNUMBER(SEARCH("ELC",[1]OUT_Electricity_CHP!$D$1:$D$10000))*1,[1]OUT_Electricity_CHP!G$1:G$10000)</f>
        <v>1.2944362679624022E-3</v>
      </c>
      <c r="I53" s="1" cm="1">
        <f t="array" ref="I53">SUMPRODUCT(([1]OUT_Electricity_CHP!$B$1:$B$10000="G-INTC-IMP00-it")*1,([1]OUT_Electricity_CHP!$C$1:$C$10000="Var_Fout")*1,ISNUMBER(SEARCH("ELC",[1]OUT_Electricity_CHP!$D$1:$D$10000))*1,[1]OUT_Electricity_CHP!H$1:H$10000)</f>
        <v>6.2482431988887467E-4</v>
      </c>
      <c r="J53" s="1" cm="1">
        <f t="array" ref="J53">SUMPRODUCT(([1]OUT_Electricity_CHP!$B$1:$B$10000="G-INTC-IMP00-it")*1,([1]OUT_Electricity_CHP!$C$1:$C$10000="Var_Fout")*1,ISNUMBER(SEARCH("ELC",[1]OUT_Electricity_CHP!$D$1:$D$10000))*1,[1]OUT_Electricity_CHP!I$1:I$10000)</f>
        <v>6.0181411929966519E-4</v>
      </c>
      <c r="K53" s="1" cm="1">
        <f t="array" ref="K53">SUMPRODUCT(([1]OUT_Electricity_CHP!$B$1:$B$10000="G-INTC-IMP00-it")*1,([1]OUT_Electricity_CHP!$C$1:$C$10000="Var_Fout")*1,ISNUMBER(SEARCH("ELC",[1]OUT_Electricity_CHP!$D$1:$D$10000))*1,[1]OUT_Electricity_CHP!J$1:J$10000)</f>
        <v>4.6053669656159383E-4</v>
      </c>
    </row>
    <row r="54" spans="1:19" x14ac:dyDescent="0.35">
      <c r="A54" s="5" t="str">
        <f t="shared" ref="A54" si="28">A53</f>
        <v>STEM</v>
      </c>
      <c r="B54" s="5" t="str">
        <f t="shared" si="12"/>
        <v>SPS2</v>
      </c>
      <c r="C54" s="5" t="str">
        <f t="shared" ref="C54" si="29">C53</f>
        <v>CH</v>
      </c>
      <c r="D54" t="s">
        <v>790</v>
      </c>
      <c r="E54" t="s">
        <v>8</v>
      </c>
      <c r="F54" s="1" cm="1">
        <f t="array" ref="F54">SUMPRODUCT(("h2"=[1]OUT_PrimaryEnergyCons!$C$4:$C$10000)*1,[1]OUT_PrimaryEnergyCons!D$4:D$10000)</f>
        <v>0</v>
      </c>
      <c r="G54" s="1" cm="1">
        <f t="array" ref="G54">SUMPRODUCT(("h2"=[1]OUT_PrimaryEnergyCons!$C$4:$C$10000)*1,[1]OUT_PrimaryEnergyCons!E$4:E$10000)</f>
        <v>0</v>
      </c>
      <c r="H54" s="1" cm="1">
        <f t="array" ref="H54">SUMPRODUCT(("h2"=[1]OUT_PrimaryEnergyCons!$C$4:$C$10000)*1,[1]OUT_PrimaryEnergyCons!F$4:F$10000)</f>
        <v>0</v>
      </c>
      <c r="I54" s="1" cm="1">
        <f t="array" ref="I54">SUMPRODUCT(("h2"=[1]OUT_PrimaryEnergyCons!$C$4:$C$10000)*1,[1]OUT_PrimaryEnergyCons!G$4:G$10000)</f>
        <v>0</v>
      </c>
      <c r="J54" s="1" cm="1">
        <f t="array" ref="J54">SUMPRODUCT(("h2"=[1]OUT_PrimaryEnergyCons!$C$4:$C$10000)*1,[1]OUT_PrimaryEnergyCons!H$4:H$10000)</f>
        <v>4.5999749174174653E-5</v>
      </c>
      <c r="K54" s="1" cm="1">
        <f t="array" ref="K54">SUMPRODUCT(("h2"=[1]OUT_PrimaryEnergyCons!$C$4:$C$10000)*1,[1]OUT_PrimaryEnergyCons!I$4:I$10000)</f>
        <v>4.5330844822732328E-5</v>
      </c>
    </row>
    <row r="55" spans="1:19" x14ac:dyDescent="0.35">
      <c r="A55" s="9" t="str">
        <f>A53</f>
        <v>STEM</v>
      </c>
      <c r="B55" s="9" t="str">
        <f t="shared" si="12"/>
        <v>SPS2</v>
      </c>
      <c r="C55" s="2" t="str">
        <f>C53</f>
        <v>CH</v>
      </c>
      <c r="D55" s="2" t="s">
        <v>24</v>
      </c>
      <c r="E55" s="2" t="s">
        <v>8</v>
      </c>
      <c r="F55" s="3">
        <f>F56</f>
        <v>117.17007711526625</v>
      </c>
      <c r="G55" s="3">
        <f t="shared" ref="G55:K55" si="30">G56</f>
        <v>35.10172901625161</v>
      </c>
      <c r="H55" s="3">
        <f t="shared" si="30"/>
        <v>54.889818522908776</v>
      </c>
      <c r="I55" s="3">
        <f t="shared" si="30"/>
        <v>52.721832946821159</v>
      </c>
      <c r="J55" s="3">
        <f t="shared" si="30"/>
        <v>24.855917976885042</v>
      </c>
      <c r="K55" s="3">
        <f t="shared" si="30"/>
        <v>20.246346142827985</v>
      </c>
      <c r="N55" s="1"/>
      <c r="O55" s="1"/>
      <c r="P55" s="1"/>
      <c r="Q55" s="1"/>
      <c r="R55" s="1"/>
      <c r="S55" s="1"/>
    </row>
    <row r="56" spans="1:19" x14ac:dyDescent="0.35">
      <c r="A56" s="5" t="str">
        <f>A55</f>
        <v>STEM</v>
      </c>
      <c r="B56" s="5" t="str">
        <f t="shared" si="12"/>
        <v>SPS2</v>
      </c>
      <c r="C56" s="5" t="str">
        <f t="shared" si="4"/>
        <v>CH</v>
      </c>
      <c r="D56" t="s">
        <v>791</v>
      </c>
      <c r="E56" t="str">
        <f>E55</f>
        <v>PJ/yr.</v>
      </c>
      <c r="F56" s="1">
        <f>SUM(F57:F60)</f>
        <v>117.17007711526625</v>
      </c>
      <c r="G56" s="1">
        <f t="shared" ref="G56:K56" si="31">SUM(G57:G60)</f>
        <v>35.10172901625161</v>
      </c>
      <c r="H56" s="1">
        <f t="shared" si="31"/>
        <v>54.889818522908776</v>
      </c>
      <c r="I56" s="1">
        <f t="shared" si="31"/>
        <v>52.721832946821159</v>
      </c>
      <c r="J56" s="1">
        <f t="shared" si="31"/>
        <v>24.855917976885042</v>
      </c>
      <c r="K56" s="1">
        <f t="shared" si="31"/>
        <v>20.246346142827985</v>
      </c>
      <c r="N56" s="1"/>
    </row>
    <row r="57" spans="1:19" x14ac:dyDescent="0.35">
      <c r="A57" s="5" t="str">
        <f t="shared" ref="A57:A61" si="32">A56</f>
        <v>STEM</v>
      </c>
      <c r="B57" s="5" t="str">
        <f t="shared" si="12"/>
        <v>SPS2</v>
      </c>
      <c r="C57" s="5" t="str">
        <f t="shared" si="4"/>
        <v>CH</v>
      </c>
      <c r="D57" t="s">
        <v>25</v>
      </c>
      <c r="E57" t="str">
        <f t="shared" ref="E57:E60" si="33">E56</f>
        <v>PJ/yr.</v>
      </c>
      <c r="F57" s="1" cm="1">
        <f t="array" ref="F57">SUMPRODUCT(([1]OUT_Electricity_CHP!$B$1:$B$10000="G-INTC-exp00-AT")*1,([1]OUT_Electricity_CHP!$C$1:$C$10000="Var_Fout")*1,ISNUMBER(SEARCH("ELC",[1]OUT_Electricity_CHP!$D$1:$D$10000))*1,[1]OUT_Electricity_CHP!E$1:E$10000)</f>
        <v>6.2295821392174782</v>
      </c>
      <c r="G57" s="1" cm="1">
        <f t="array" ref="G57">SUMPRODUCT(([1]OUT_Electricity_CHP!$B$1:$B$10000="G-INTC-exp00-AT")*1,([1]OUT_Electricity_CHP!$C$1:$C$10000="Var_Fout")*1,ISNUMBER(SEARCH("ELC",[1]OUT_Electricity_CHP!$D$1:$D$10000))*1,[1]OUT_Electricity_CHP!F$1:F$10000)</f>
        <v>2.3578333974117131E-3</v>
      </c>
      <c r="H57" s="1" cm="1">
        <f t="array" ref="H57">SUMPRODUCT(([1]OUT_Electricity_CHP!$B$1:$B$10000="G-INTC-exp00-AT")*1,([1]OUT_Electricity_CHP!$C$1:$C$10000="Var_Fout")*1,ISNUMBER(SEARCH("ELC",[1]OUT_Electricity_CHP!$D$1:$D$10000))*1,[1]OUT_Electricity_CHP!G$1:G$10000)</f>
        <v>2.9019737270762616E-3</v>
      </c>
      <c r="I57" s="1" cm="1">
        <f t="array" ref="I57">SUMPRODUCT(([1]OUT_Electricity_CHP!$B$1:$B$10000="G-INTC-exp00-AT")*1,([1]OUT_Electricity_CHP!$C$1:$C$10000="Var_Fout")*1,ISNUMBER(SEARCH("ELC",[1]OUT_Electricity_CHP!$D$1:$D$10000))*1,[1]OUT_Electricity_CHP!H$1:H$10000)</f>
        <v>6.4791491826501966E-4</v>
      </c>
      <c r="J57" s="1" cm="1">
        <f t="array" ref="J57">SUMPRODUCT(([1]OUT_Electricity_CHP!$B$1:$B$10000="G-INTC-exp00-AT")*1,([1]OUT_Electricity_CHP!$C$1:$C$10000="Var_Fout")*1,ISNUMBER(SEARCH("ELC",[1]OUT_Electricity_CHP!$D$1:$D$10000))*1,[1]OUT_Electricity_CHP!I$1:I$10000)</f>
        <v>8.5969181290441706E-4</v>
      </c>
      <c r="K57" s="1" cm="1">
        <f t="array" ref="K57">SUMPRODUCT(([1]OUT_Electricity_CHP!$B$1:$B$10000="G-INTC-exp00-AT")*1,([1]OUT_Electricity_CHP!$C$1:$C$10000="Var_Fout")*1,ISNUMBER(SEARCH("ELC",[1]OUT_Electricity_CHP!$D$1:$D$10000))*1,[1]OUT_Electricity_CHP!J$1:J$10000)</f>
        <v>4.3121694012426994E-4</v>
      </c>
    </row>
    <row r="58" spans="1:19" x14ac:dyDescent="0.35">
      <c r="A58" s="5" t="str">
        <f t="shared" si="32"/>
        <v>STEM</v>
      </c>
      <c r="B58" s="5" t="str">
        <f t="shared" si="12"/>
        <v>SPS2</v>
      </c>
      <c r="C58" s="5" t="str">
        <f t="shared" si="4"/>
        <v>CH</v>
      </c>
      <c r="D58" t="s">
        <v>26</v>
      </c>
      <c r="E58" t="str">
        <f t="shared" si="33"/>
        <v>PJ/yr.</v>
      </c>
      <c r="F58" s="1" cm="1">
        <f t="array" ref="F58">SUMPRODUCT(([1]OUT_Electricity_CHP!$B$1:$B$10000="G-INTC-exp00-fr")*1,([1]OUT_Electricity_CHP!$C$1:$C$10000="Var_Fout")*1,ISNUMBER(SEARCH("ELC",[1]OUT_Electricity_CHP!$D$1:$D$10000))*1,[1]OUT_Electricity_CHP!E$1:E$10000)</f>
        <v>12.753379119069592</v>
      </c>
      <c r="G58" s="1" cm="1">
        <f t="array" ref="G58">SUMPRODUCT(([1]OUT_Electricity_CHP!$B$1:$B$10000="G-INTC-exp00-fr")*1,([1]OUT_Electricity_CHP!$C$1:$C$10000="Var_Fout")*1,ISNUMBER(SEARCH("ELC",[1]OUT_Electricity_CHP!$D$1:$D$10000))*1,[1]OUT_Electricity_CHP!F$1:F$10000)</f>
        <v>2.0637551105677472E-3</v>
      </c>
      <c r="H58" s="1" cm="1">
        <f t="array" ref="H58">SUMPRODUCT(([1]OUT_Electricity_CHP!$B$1:$B$10000="G-INTC-exp00-fr")*1,([1]OUT_Electricity_CHP!$C$1:$C$10000="Var_Fout")*1,ISNUMBER(SEARCH("ELC",[1]OUT_Electricity_CHP!$D$1:$D$10000))*1,[1]OUT_Electricity_CHP!G$1:G$10000)</f>
        <v>2.0182439058539026E-3</v>
      </c>
      <c r="I58" s="1" cm="1">
        <f t="array" ref="I58">SUMPRODUCT(([1]OUT_Electricity_CHP!$B$1:$B$10000="G-INTC-exp00-fr")*1,([1]OUT_Electricity_CHP!$C$1:$C$10000="Var_Fout")*1,ISNUMBER(SEARCH("ELC",[1]OUT_Electricity_CHP!$D$1:$D$10000))*1,[1]OUT_Electricity_CHP!H$1:H$10000)</f>
        <v>9.8898972246776987E-4</v>
      </c>
      <c r="J58" s="1" cm="1">
        <f t="array" ref="J58">SUMPRODUCT(([1]OUT_Electricity_CHP!$B$1:$B$10000="G-INTC-exp00-fr")*1,([1]OUT_Electricity_CHP!$C$1:$C$10000="Var_Fout")*1,ISNUMBER(SEARCH("ELC",[1]OUT_Electricity_CHP!$D$1:$D$10000))*1,[1]OUT_Electricity_CHP!I$1:I$10000)</f>
        <v>6.9597649965831739E-3</v>
      </c>
      <c r="K58" s="1" cm="1">
        <f t="array" ref="K58">SUMPRODUCT(([1]OUT_Electricity_CHP!$B$1:$B$10000="G-INTC-exp00-fr")*1,([1]OUT_Electricity_CHP!$C$1:$C$10000="Var_Fout")*1,ISNUMBER(SEARCH("ELC",[1]OUT_Electricity_CHP!$D$1:$D$10000))*1,[1]OUT_Electricity_CHP!J$1:J$10000)</f>
        <v>5.7678816804000894E-3</v>
      </c>
    </row>
    <row r="59" spans="1:19" x14ac:dyDescent="0.35">
      <c r="A59" s="5" t="str">
        <f t="shared" si="32"/>
        <v>STEM</v>
      </c>
      <c r="B59" s="5" t="str">
        <f t="shared" si="12"/>
        <v>SPS2</v>
      </c>
      <c r="C59" s="5" t="str">
        <f t="shared" si="4"/>
        <v>CH</v>
      </c>
      <c r="D59" t="s">
        <v>27</v>
      </c>
      <c r="E59" t="str">
        <f t="shared" si="33"/>
        <v>PJ/yr.</v>
      </c>
      <c r="F59" s="1" cm="1">
        <f t="array" ref="F59">SUMPRODUCT(([1]OUT_Electricity_CHP!$B$1:$B$10000="G-INTC-exp00-de")*1,([1]OUT_Electricity_CHP!$C$1:$C$10000="Var_Fout")*1,ISNUMBER(SEARCH("ELC",[1]OUT_Electricity_CHP!$D$1:$D$10000))*1,[1]OUT_Electricity_CHP!E$1:E$10000)</f>
        <v>26.492987070337517</v>
      </c>
      <c r="G59" s="1" cm="1">
        <f t="array" ref="G59">SUMPRODUCT(([1]OUT_Electricity_CHP!$B$1:$B$10000="G-INTC-exp00-de")*1,([1]OUT_Electricity_CHP!$C$1:$C$10000="Var_Fout")*1,ISNUMBER(SEARCH("ELC",[1]OUT_Electricity_CHP!$D$1:$D$10000))*1,[1]OUT_Electricity_CHP!F$1:F$10000)</f>
        <v>1.7199480875271708E-3</v>
      </c>
      <c r="H59" s="1" cm="1">
        <f t="array" ref="H59">SUMPRODUCT(([1]OUT_Electricity_CHP!$B$1:$B$10000="G-INTC-exp00-de")*1,([1]OUT_Electricity_CHP!$C$1:$C$10000="Var_Fout")*1,ISNUMBER(SEARCH("ELC",[1]OUT_Electricity_CHP!$D$1:$D$10000))*1,[1]OUT_Electricity_CHP!G$1:G$10000)</f>
        <v>1.9387620745842664E-3</v>
      </c>
      <c r="I59" s="1" cm="1">
        <f t="array" ref="I59">SUMPRODUCT(([1]OUT_Electricity_CHP!$B$1:$B$10000="G-INTC-exp00-de")*1,([1]OUT_Electricity_CHP!$C$1:$C$10000="Var_Fout")*1,ISNUMBER(SEARCH("ELC",[1]OUT_Electricity_CHP!$D$1:$D$10000))*1,[1]OUT_Electricity_CHP!H$1:H$10000)</f>
        <v>1.6570002983973668E-3</v>
      </c>
      <c r="J59" s="1" cm="1">
        <f t="array" ref="J59">SUMPRODUCT(([1]OUT_Electricity_CHP!$B$1:$B$10000="G-INTC-exp00-de")*1,([1]OUT_Electricity_CHP!$C$1:$C$10000="Var_Fout")*1,ISNUMBER(SEARCH("ELC",[1]OUT_Electricity_CHP!$D$1:$D$10000))*1,[1]OUT_Electricity_CHP!I$1:I$10000)</f>
        <v>8.0750752320254329E-3</v>
      </c>
      <c r="K59" s="1" cm="1">
        <f t="array" ref="K59">SUMPRODUCT(([1]OUT_Electricity_CHP!$B$1:$B$10000="G-INTC-exp00-de")*1,([1]OUT_Electricity_CHP!$C$1:$C$10000="Var_Fout")*1,ISNUMBER(SEARCH("ELC",[1]OUT_Electricity_CHP!$D$1:$D$10000))*1,[1]OUT_Electricity_CHP!J$1:J$10000)</f>
        <v>1.439952177415492E-3</v>
      </c>
    </row>
    <row r="60" spans="1:19" x14ac:dyDescent="0.35">
      <c r="A60" s="5" t="str">
        <f t="shared" si="32"/>
        <v>STEM</v>
      </c>
      <c r="B60" s="5" t="str">
        <f t="shared" si="12"/>
        <v>SPS2</v>
      </c>
      <c r="C60" s="5" t="str">
        <f t="shared" si="4"/>
        <v>CH</v>
      </c>
      <c r="D60" t="s">
        <v>28</v>
      </c>
      <c r="E60" t="str">
        <f t="shared" si="33"/>
        <v>PJ/yr.</v>
      </c>
      <c r="F60" s="1" cm="1">
        <f t="array" ref="F60">SUMPRODUCT(([1]OUT_Electricity_CHP!$B$1:$B$10000="G-INTC-exp00-it")*1,([1]OUT_Electricity_CHP!$C$1:$C$10000="Var_Fout")*1,ISNUMBER(SEARCH("ELC",[1]OUT_Electricity_CHP!$D$1:$D$10000))*1,[1]OUT_Electricity_CHP!E$1:E$10000)</f>
        <v>71.69412878664167</v>
      </c>
      <c r="G60" s="1" cm="1">
        <f t="array" ref="G60">SUMPRODUCT(([1]OUT_Electricity_CHP!$B$1:$B$10000="G-INTC-exp00-it")*1,([1]OUT_Electricity_CHP!$C$1:$C$10000="Var_Fout")*1,ISNUMBER(SEARCH("ELC",[1]OUT_Electricity_CHP!$D$1:$D$10000))*1,[1]OUT_Electricity_CHP!F$1:F$10000)</f>
        <v>35.095587479656103</v>
      </c>
      <c r="H60" s="1" cm="1">
        <f t="array" ref="H60">SUMPRODUCT(([1]OUT_Electricity_CHP!$B$1:$B$10000="G-INTC-exp00-it")*1,([1]OUT_Electricity_CHP!$C$1:$C$10000="Var_Fout")*1,ISNUMBER(SEARCH("ELC",[1]OUT_Electricity_CHP!$D$1:$D$10000))*1,[1]OUT_Electricity_CHP!G$1:G$10000)</f>
        <v>54.88295954320126</v>
      </c>
      <c r="I60" s="1" cm="1">
        <f t="array" ref="I60">SUMPRODUCT(([1]OUT_Electricity_CHP!$B$1:$B$10000="G-INTC-exp00-it")*1,([1]OUT_Electricity_CHP!$C$1:$C$10000="Var_Fout")*1,ISNUMBER(SEARCH("ELC",[1]OUT_Electricity_CHP!$D$1:$D$10000))*1,[1]OUT_Electricity_CHP!H$1:H$10000)</f>
        <v>52.718539041882032</v>
      </c>
      <c r="J60" s="1" cm="1">
        <f t="array" ref="J60">SUMPRODUCT(([1]OUT_Electricity_CHP!$B$1:$B$10000="G-INTC-exp00-it")*1,([1]OUT_Electricity_CHP!$C$1:$C$10000="Var_Fout")*1,ISNUMBER(SEARCH("ELC",[1]OUT_Electricity_CHP!$D$1:$D$10000))*1,[1]OUT_Electricity_CHP!I$1:I$10000)</f>
        <v>24.840023444843528</v>
      </c>
      <c r="K60" s="1" cm="1">
        <f t="array" ref="K60">SUMPRODUCT(([1]OUT_Electricity_CHP!$B$1:$B$10000="G-INTC-exp00-it")*1,([1]OUT_Electricity_CHP!$C$1:$C$10000="Var_Fout")*1,ISNUMBER(SEARCH("ELC",[1]OUT_Electricity_CHP!$D$1:$D$10000))*1,[1]OUT_Electricity_CHP!J$1:J$10000)</f>
        <v>20.238707092030044</v>
      </c>
    </row>
    <row r="61" spans="1:19" x14ac:dyDescent="0.35">
      <c r="A61" s="9" t="str">
        <f t="shared" si="32"/>
        <v>STEM</v>
      </c>
      <c r="B61" s="9" t="str">
        <f t="shared" si="12"/>
        <v>SPS2</v>
      </c>
      <c r="C61" s="2" t="str">
        <f t="shared" ref="C61:C62" si="34">C60</f>
        <v>CH</v>
      </c>
      <c r="D61" s="2" t="s">
        <v>29</v>
      </c>
      <c r="E61" s="2" t="s">
        <v>8</v>
      </c>
      <c r="F61" s="3">
        <f>SUM(F62,F64,F68,F80,F128,F149,F157,F159,F167,F171,F165)</f>
        <v>251.02627614639906</v>
      </c>
      <c r="G61" s="3">
        <f t="shared" ref="G61:K61" si="35">SUM(G62,G64,G72,G80,G128,G149,G157,G159,G167,G171,G165)</f>
        <v>229.32930377667489</v>
      </c>
      <c r="H61" s="3">
        <f t="shared" si="35"/>
        <v>250.82042636518497</v>
      </c>
      <c r="I61" s="3">
        <f t="shared" si="35"/>
        <v>320.61454178253047</v>
      </c>
      <c r="J61" s="3">
        <f t="shared" si="35"/>
        <v>329.19194271651907</v>
      </c>
      <c r="K61" s="3">
        <f t="shared" si="35"/>
        <v>362.91572257319308</v>
      </c>
    </row>
    <row r="62" spans="1:19" x14ac:dyDescent="0.35">
      <c r="A62" s="5" t="str">
        <f>A61</f>
        <v>STEM</v>
      </c>
      <c r="B62" s="5" t="str">
        <f t="shared" si="12"/>
        <v>SPS2</v>
      </c>
      <c r="C62" s="5" t="str">
        <f t="shared" si="34"/>
        <v>CH</v>
      </c>
      <c r="D62" t="s">
        <v>792</v>
      </c>
      <c r="E62" t="str">
        <f>E60</f>
        <v>PJ/yr.</v>
      </c>
      <c r="F62" s="1">
        <f>+F63</f>
        <v>82.760014544488058</v>
      </c>
      <c r="G62" s="1">
        <f t="shared" ref="G62:K62" si="36">+G63</f>
        <v>82.759940140451945</v>
      </c>
      <c r="H62" s="1">
        <f t="shared" si="36"/>
        <v>67.103760347604137</v>
      </c>
      <c r="I62" s="1">
        <f t="shared" si="36"/>
        <v>69.908736144888309</v>
      </c>
      <c r="J62" s="1">
        <f t="shared" si="36"/>
        <v>32.820805034629792</v>
      </c>
      <c r="K62" s="1">
        <f t="shared" si="36"/>
        <v>0</v>
      </c>
    </row>
    <row r="63" spans="1:19" x14ac:dyDescent="0.35">
      <c r="A63" s="5" t="str">
        <f t="shared" ref="A63:B147" si="37">A62</f>
        <v>STEM</v>
      </c>
      <c r="B63" s="5" t="str">
        <f t="shared" si="12"/>
        <v>SPS2</v>
      </c>
      <c r="C63" s="5" t="str">
        <f t="shared" ref="C63:C147" si="38">C62</f>
        <v>CH</v>
      </c>
      <c r="D63" t="s">
        <v>30</v>
      </c>
      <c r="E63" t="str">
        <f>E61</f>
        <v>PJ/yr.</v>
      </c>
      <c r="F63" s="1">
        <f>'[1]Electricity and CHPs'!B14</f>
        <v>82.760014544488058</v>
      </c>
      <c r="G63" s="1">
        <f>'[1]Electricity and CHPs'!C14</f>
        <v>82.759940140451945</v>
      </c>
      <c r="H63" s="1">
        <f>'[1]Electricity and CHPs'!D14</f>
        <v>67.103760347604137</v>
      </c>
      <c r="I63" s="1">
        <f>'[1]Electricity and CHPs'!E14</f>
        <v>69.908736144888309</v>
      </c>
      <c r="J63" s="1">
        <f>'[1]Electricity and CHPs'!F14</f>
        <v>32.820805034629792</v>
      </c>
      <c r="K63" s="1">
        <f>'[1]Electricity and CHPs'!G14</f>
        <v>0</v>
      </c>
    </row>
    <row r="64" spans="1:19" x14ac:dyDescent="0.35">
      <c r="A64" s="5" t="str">
        <f t="shared" si="37"/>
        <v>STEM</v>
      </c>
      <c r="B64" s="5" t="str">
        <f t="shared" si="12"/>
        <v>SPS2</v>
      </c>
      <c r="C64" s="5" t="str">
        <f t="shared" si="38"/>
        <v>CH</v>
      </c>
      <c r="D64" t="s">
        <v>793</v>
      </c>
      <c r="E64" t="str">
        <f>E63</f>
        <v>PJ/yr.</v>
      </c>
      <c r="F64" s="1">
        <f>SUM(F65:F67)</f>
        <v>146.22002040183506</v>
      </c>
      <c r="G64" s="1">
        <f t="shared" ref="G64:K64" si="39">SUM(G65:G67)</f>
        <v>121.60134862522676</v>
      </c>
      <c r="H64" s="1">
        <f t="shared" si="39"/>
        <v>142.50056868918847</v>
      </c>
      <c r="I64" s="1">
        <f t="shared" si="39"/>
        <v>174.91168440652805</v>
      </c>
      <c r="J64" s="1">
        <f t="shared" si="39"/>
        <v>151.71396359485396</v>
      </c>
      <c r="K64" s="1">
        <f t="shared" si="39"/>
        <v>155.77937269808618</v>
      </c>
    </row>
    <row r="65" spans="1:11" x14ac:dyDescent="0.35">
      <c r="A65" s="5" t="str">
        <f t="shared" si="37"/>
        <v>STEM</v>
      </c>
      <c r="B65" s="5" t="str">
        <f t="shared" si="12"/>
        <v>SPS2</v>
      </c>
      <c r="C65" s="5" t="str">
        <f t="shared" si="38"/>
        <v>CH</v>
      </c>
      <c r="D65" t="s">
        <v>31</v>
      </c>
      <c r="E65" t="str">
        <f>E63</f>
        <v>PJ/yr.</v>
      </c>
      <c r="F65" s="1">
        <f>'[1]Electricity and CHPs'!B15</f>
        <v>66.745680801082017</v>
      </c>
      <c r="G65" s="1">
        <f>'[1]Electricity and CHPs'!C15</f>
        <v>49.798798162012751</v>
      </c>
      <c r="H65" s="1">
        <f>'[1]Electricity and CHPs'!D15</f>
        <v>68.519822333982376</v>
      </c>
      <c r="I65" s="1">
        <f>'[1]Electricity and CHPs'!E15</f>
        <v>68.564272621523827</v>
      </c>
      <c r="J65" s="1">
        <f>'[1]Electricity and CHPs'!F15</f>
        <v>71.347195485573749</v>
      </c>
      <c r="K65" s="1">
        <f>'[1]Electricity and CHPs'!G15</f>
        <v>74.836062463111176</v>
      </c>
    </row>
    <row r="66" spans="1:11" x14ac:dyDescent="0.35">
      <c r="A66" s="5" t="str">
        <f t="shared" si="37"/>
        <v>STEM</v>
      </c>
      <c r="B66" s="5" t="str">
        <f t="shared" si="12"/>
        <v>SPS2</v>
      </c>
      <c r="C66" s="5" t="str">
        <f t="shared" si="38"/>
        <v>CH</v>
      </c>
      <c r="D66" t="s">
        <v>32</v>
      </c>
      <c r="E66" t="str">
        <f t="shared" ref="E66:E67" si="40">E65</f>
        <v>PJ/yr.</v>
      </c>
      <c r="F66" s="1">
        <f>'[1]Electricity and CHPs'!B16</f>
        <v>66.632410606460908</v>
      </c>
      <c r="G66" s="1">
        <f>'[1]Electricity and CHPs'!C16</f>
        <v>55.764006821931353</v>
      </c>
      <c r="H66" s="1">
        <f>'[1]Electricity and CHPs'!D16</f>
        <v>65.566170920840051</v>
      </c>
      <c r="I66" s="1">
        <f>'[1]Electricity and CHPs'!E16</f>
        <v>66.917163236066756</v>
      </c>
      <c r="J66" s="1">
        <f>'[1]Electricity and CHPs'!F16</f>
        <v>66.967455268473685</v>
      </c>
      <c r="K66" s="1">
        <f>'[1]Electricity and CHPs'!G16</f>
        <v>67.13500508681291</v>
      </c>
    </row>
    <row r="67" spans="1:11" x14ac:dyDescent="0.35">
      <c r="A67" s="5" t="str">
        <f t="shared" si="37"/>
        <v>STEM</v>
      </c>
      <c r="B67" s="5" t="str">
        <f t="shared" si="12"/>
        <v>SPS2</v>
      </c>
      <c r="C67" s="5" t="str">
        <f t="shared" si="38"/>
        <v>CH</v>
      </c>
      <c r="D67" t="s">
        <v>33</v>
      </c>
      <c r="E67" t="str">
        <f t="shared" si="40"/>
        <v>PJ/yr.</v>
      </c>
      <c r="F67" s="1">
        <f>'[1]Electricity and CHPs'!B17</f>
        <v>12.84192899429215</v>
      </c>
      <c r="G67" s="1">
        <f>'[1]Electricity and CHPs'!C17</f>
        <v>16.038543641282661</v>
      </c>
      <c r="H67" s="1">
        <f>'[1]Electricity and CHPs'!D17</f>
        <v>8.4145754343660535</v>
      </c>
      <c r="I67" s="1">
        <f>'[1]Electricity and CHPs'!E17</f>
        <v>39.430248548937477</v>
      </c>
      <c r="J67" s="1">
        <f>'[1]Electricity and CHPs'!F17</f>
        <v>13.399312840806555</v>
      </c>
      <c r="K67" s="1">
        <f>'[1]Electricity and CHPs'!G17</f>
        <v>13.808305148162074</v>
      </c>
    </row>
    <row r="68" spans="1:11" x14ac:dyDescent="0.35">
      <c r="A68" s="5" t="str">
        <f>A59</f>
        <v>STEM</v>
      </c>
      <c r="B68" s="5" t="str">
        <f t="shared" si="12"/>
        <v>SPS2</v>
      </c>
      <c r="C68" s="5" t="str">
        <f>C59</f>
        <v>CH</v>
      </c>
      <c r="D68" t="s">
        <v>794</v>
      </c>
      <c r="E68" t="str">
        <f>E59</f>
        <v>PJ/yr.</v>
      </c>
      <c r="F68" s="1">
        <f>SUM(F69:F71)</f>
        <v>0.11194374858591244</v>
      </c>
      <c r="G68" s="1">
        <f t="shared" ref="G68" si="41">SUM(G69:G71)</f>
        <v>0.1715368842705684</v>
      </c>
      <c r="H68" s="1">
        <f t="shared" ref="H68" si="42">SUM(H69:H71)</f>
        <v>2.8154861818707515E-2</v>
      </c>
      <c r="I68" s="1">
        <f t="shared" ref="I68" si="43">SUM(I69:I71)</f>
        <v>0.1715652858138319</v>
      </c>
      <c r="J68" s="1">
        <f t="shared" ref="J68" si="44">SUM(J69:J71)</f>
        <v>3.9416051854495794E-2</v>
      </c>
      <c r="K68" s="1">
        <f t="shared" ref="K68" si="45">SUM(K69:K71)</f>
        <v>1.10718789067012E-4</v>
      </c>
    </row>
    <row r="69" spans="1:11" x14ac:dyDescent="0.35">
      <c r="A69" s="5" t="str">
        <f>A68</f>
        <v>STEM</v>
      </c>
      <c r="B69" s="5" t="str">
        <f t="shared" si="12"/>
        <v>SPS2</v>
      </c>
      <c r="C69" s="5" t="str">
        <f>C68</f>
        <v>CH</v>
      </c>
      <c r="D69" t="s">
        <v>34</v>
      </c>
      <c r="E69" t="str">
        <f>E59</f>
        <v>PJ/yr.</v>
      </c>
      <c r="F69" s="1">
        <f>'[1]Electricity and CHPs'!B18</f>
        <v>3.9609973401415081E-2</v>
      </c>
      <c r="G69" s="1">
        <f>'[1]Electricity and CHPs'!C18</f>
        <v>1.0021164995322855E-3</v>
      </c>
      <c r="H69" s="1">
        <f>'[1]Electricity and CHPs'!D18</f>
        <v>1.4686372246993267E-2</v>
      </c>
      <c r="I69" s="1">
        <f>'[1]Electricity and CHPs'!E18</f>
        <v>9.2258791817763526E-4</v>
      </c>
      <c r="J69" s="1">
        <f>'[1]Electricity and CHPs'!F18</f>
        <v>3.8497712293900324E-2</v>
      </c>
      <c r="K69" s="1">
        <f>'[1]Electricity and CHPs'!G18</f>
        <v>9.2769095874506094E-5</v>
      </c>
    </row>
    <row r="70" spans="1:11" x14ac:dyDescent="0.35">
      <c r="A70" s="5" t="str">
        <f t="shared" ref="A70:A71" si="46">A69</f>
        <v>STEM</v>
      </c>
      <c r="B70" s="5" t="str">
        <f t="shared" si="12"/>
        <v>SPS2</v>
      </c>
      <c r="C70" s="5" t="str">
        <f t="shared" ref="C70:C71" si="47">C69</f>
        <v>CH</v>
      </c>
      <c r="D70" t="s">
        <v>228</v>
      </c>
      <c r="E70" t="str">
        <f>E124</f>
        <v>PJ/yr.</v>
      </c>
      <c r="F70" s="1">
        <f>'[1]Electricity and CHPs'!B28</f>
        <v>1.8093895518981832E-3</v>
      </c>
      <c r="G70" s="1">
        <f>'[1]Electricity and CHPs'!C28</f>
        <v>1.1125629078877592E-3</v>
      </c>
      <c r="H70" s="1">
        <f>'[1]Electricity and CHPs'!D28</f>
        <v>3.5423627894429219E-3</v>
      </c>
      <c r="I70" s="1">
        <f>'[1]Electricity and CHPs'!E28</f>
        <v>5.1625971358800133E-4</v>
      </c>
      <c r="J70" s="1">
        <f>'[1]Electricity and CHPs'!F28</f>
        <v>9.1833956059547066E-4</v>
      </c>
      <c r="K70" s="1">
        <f>'[1]Electricity and CHPs'!G28</f>
        <v>1.7949693192505902E-5</v>
      </c>
    </row>
    <row r="71" spans="1:11" x14ac:dyDescent="0.35">
      <c r="A71" s="5" t="str">
        <f t="shared" si="46"/>
        <v>STEM</v>
      </c>
      <c r="B71" s="5" t="str">
        <f t="shared" si="12"/>
        <v>SPS2</v>
      </c>
      <c r="C71" s="5" t="str">
        <f t="shared" si="47"/>
        <v>CH</v>
      </c>
      <c r="D71" t="s">
        <v>40</v>
      </c>
      <c r="E71" t="str">
        <f>E79</f>
        <v>PJ/yr.</v>
      </c>
      <c r="F71" s="1">
        <f>'[1]Electricity and CHPs'!B41</f>
        <v>7.0524385632599176E-2</v>
      </c>
      <c r="G71" s="1">
        <f>'[1]Electricity and CHPs'!C41</f>
        <v>0.16942220486314835</v>
      </c>
      <c r="H71" s="1">
        <f>'[1]Electricity and CHPs'!D41</f>
        <v>9.9261267822713228E-3</v>
      </c>
      <c r="I71" s="1">
        <f>'[1]Electricity and CHPs'!E41</f>
        <v>0.17012643818206627</v>
      </c>
      <c r="J71" s="1">
        <f>'[1]Electricity and CHPs'!F41</f>
        <v>0</v>
      </c>
      <c r="K71" s="1">
        <f>'[1]Electricity and CHPs'!G41</f>
        <v>0</v>
      </c>
    </row>
    <row r="72" spans="1:11" x14ac:dyDescent="0.35">
      <c r="A72" s="5" t="str">
        <f>A67</f>
        <v>STEM</v>
      </c>
      <c r="B72" s="5" t="str">
        <f t="shared" si="12"/>
        <v>SPS2</v>
      </c>
      <c r="C72" s="5" t="str">
        <f>C67</f>
        <v>CH</v>
      </c>
      <c r="D72" t="s">
        <v>795</v>
      </c>
      <c r="E72" t="str">
        <f>E67</f>
        <v>PJ/yr.</v>
      </c>
      <c r="F72" s="1">
        <f>SUM(F73:F75)</f>
        <v>0.11194374858591244</v>
      </c>
      <c r="G72" s="1">
        <f t="shared" ref="G72:K72" si="48">SUM(G73:G75)</f>
        <v>0.1715368842705684</v>
      </c>
      <c r="H72" s="1">
        <f t="shared" si="48"/>
        <v>2.8154861818707515E-2</v>
      </c>
      <c r="I72" s="1">
        <f t="shared" si="48"/>
        <v>0.1715652858138319</v>
      </c>
      <c r="J72" s="1">
        <f t="shared" si="48"/>
        <v>3.9416051854495794E-2</v>
      </c>
      <c r="K72" s="1">
        <f t="shared" si="48"/>
        <v>1.10718789067012E-4</v>
      </c>
    </row>
    <row r="73" spans="1:11" x14ac:dyDescent="0.35">
      <c r="A73" s="5" t="str">
        <f>A72</f>
        <v>STEM</v>
      </c>
      <c r="B73" s="5" t="str">
        <f t="shared" si="12"/>
        <v>SPS2</v>
      </c>
      <c r="C73" s="5" t="str">
        <f>C72</f>
        <v>CH</v>
      </c>
      <c r="D73" t="s">
        <v>514</v>
      </c>
      <c r="E73" t="str">
        <f>E67</f>
        <v>PJ/yr.</v>
      </c>
      <c r="F73" s="1">
        <f>F69</f>
        <v>3.9609973401415081E-2</v>
      </c>
      <c r="G73" s="1">
        <f t="shared" ref="G73:K73" si="49">G69</f>
        <v>1.0021164995322855E-3</v>
      </c>
      <c r="H73" s="1">
        <f t="shared" si="49"/>
        <v>1.4686372246993267E-2</v>
      </c>
      <c r="I73" s="1">
        <f t="shared" si="49"/>
        <v>9.2258791817763526E-4</v>
      </c>
      <c r="J73" s="1">
        <f t="shared" si="49"/>
        <v>3.8497712293900324E-2</v>
      </c>
      <c r="K73" s="1">
        <f t="shared" si="49"/>
        <v>9.2769095874506094E-5</v>
      </c>
    </row>
    <row r="74" spans="1:11" x14ac:dyDescent="0.35">
      <c r="A74" s="5" t="str">
        <f t="shared" si="37"/>
        <v>STEM</v>
      </c>
      <c r="B74" s="5" t="str">
        <f t="shared" si="12"/>
        <v>SPS2</v>
      </c>
      <c r="C74" s="5" t="str">
        <f t="shared" si="38"/>
        <v>CH</v>
      </c>
      <c r="D74" t="s">
        <v>515</v>
      </c>
      <c r="E74" t="str">
        <f>E132</f>
        <v>PJ/yr.</v>
      </c>
      <c r="F74" s="1">
        <f>'[1]Electricity and CHPs'!B28</f>
        <v>1.8093895518981832E-3</v>
      </c>
      <c r="G74" s="1">
        <f>'[1]Electricity and CHPs'!C28</f>
        <v>1.1125629078877592E-3</v>
      </c>
      <c r="H74" s="1">
        <f>'[1]Electricity and CHPs'!D28</f>
        <v>3.5423627894429219E-3</v>
      </c>
      <c r="I74" s="1">
        <f>'[1]Electricity and CHPs'!E28</f>
        <v>5.1625971358800133E-4</v>
      </c>
      <c r="J74" s="1">
        <f>'[1]Electricity and CHPs'!F28</f>
        <v>9.1833956059547066E-4</v>
      </c>
      <c r="K74" s="1">
        <f>'[1]Electricity and CHPs'!G28</f>
        <v>1.7949693192505902E-5</v>
      </c>
    </row>
    <row r="75" spans="1:11" x14ac:dyDescent="0.35">
      <c r="A75" s="5" t="str">
        <f t="shared" si="37"/>
        <v>STEM</v>
      </c>
      <c r="B75" s="5" t="str">
        <f t="shared" si="12"/>
        <v>SPS2</v>
      </c>
      <c r="C75" s="5" t="str">
        <f t="shared" si="38"/>
        <v>CH</v>
      </c>
      <c r="D75" t="s">
        <v>516</v>
      </c>
      <c r="E75" t="str">
        <f>E87</f>
        <v>PJ/yr.</v>
      </c>
      <c r="F75" s="1">
        <f>'[1]Electricity and CHPs'!B41</f>
        <v>7.0524385632599176E-2</v>
      </c>
      <c r="G75" s="1">
        <f>'[1]Electricity and CHPs'!C41</f>
        <v>0.16942220486314835</v>
      </c>
      <c r="H75" s="1">
        <f>'[1]Electricity and CHPs'!D41</f>
        <v>9.9261267822713228E-3</v>
      </c>
      <c r="I75" s="1">
        <f>'[1]Electricity and CHPs'!E41</f>
        <v>0.17012643818206627</v>
      </c>
      <c r="J75" s="1">
        <f>'[1]Electricity and CHPs'!F41</f>
        <v>0</v>
      </c>
      <c r="K75" s="1">
        <f>'[1]Electricity and CHPs'!G41</f>
        <v>0</v>
      </c>
    </row>
    <row r="76" spans="1:11" x14ac:dyDescent="0.35">
      <c r="A76" s="5" t="str">
        <f t="shared" ref="A76:C77" si="50">A74</f>
        <v>STEM</v>
      </c>
      <c r="B76" s="5" t="str">
        <f t="shared" si="12"/>
        <v>SPS2</v>
      </c>
      <c r="C76" s="5" t="str">
        <f t="shared" si="50"/>
        <v>CH</v>
      </c>
      <c r="D76" t="s">
        <v>796</v>
      </c>
      <c r="E76" t="str">
        <f>E73</f>
        <v>PJ/yr.</v>
      </c>
      <c r="F76" s="1">
        <f>SUM(F77:F79)</f>
        <v>0</v>
      </c>
      <c r="G76" s="1">
        <f t="shared" ref="G76:K76" si="51">SUM(G77:G79)</f>
        <v>0</v>
      </c>
      <c r="H76" s="1">
        <f t="shared" si="51"/>
        <v>0</v>
      </c>
      <c r="I76" s="1">
        <f t="shared" si="51"/>
        <v>0</v>
      </c>
      <c r="J76" s="1">
        <f t="shared" si="51"/>
        <v>0</v>
      </c>
      <c r="K76" s="1">
        <f t="shared" si="51"/>
        <v>0</v>
      </c>
    </row>
    <row r="77" spans="1:11" x14ac:dyDescent="0.35">
      <c r="A77" s="5" t="str">
        <f t="shared" si="50"/>
        <v>STEM</v>
      </c>
      <c r="B77" s="5" t="str">
        <f t="shared" si="12"/>
        <v>SPS2</v>
      </c>
      <c r="C77" s="5" t="str">
        <f t="shared" si="50"/>
        <v>CH</v>
      </c>
      <c r="D77" t="s">
        <v>538</v>
      </c>
      <c r="E77" t="str">
        <f>E74</f>
        <v>PJ/yr.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35">
      <c r="A78" s="5" t="str">
        <f t="shared" si="37"/>
        <v>STEM</v>
      </c>
      <c r="B78" s="5" t="str">
        <f t="shared" si="12"/>
        <v>SPS2</v>
      </c>
      <c r="C78" s="5" t="str">
        <f t="shared" si="38"/>
        <v>CH</v>
      </c>
      <c r="D78" t="s">
        <v>539</v>
      </c>
      <c r="E78" t="str">
        <f>E135</f>
        <v>PJ/yr.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35">
      <c r="A79" s="5" t="str">
        <f t="shared" si="37"/>
        <v>STEM</v>
      </c>
      <c r="B79" s="5" t="str">
        <f t="shared" si="12"/>
        <v>SPS2</v>
      </c>
      <c r="C79" s="5" t="str">
        <f t="shared" si="38"/>
        <v>CH</v>
      </c>
      <c r="D79" t="s">
        <v>540</v>
      </c>
      <c r="E79" t="str">
        <f>E90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35">
      <c r="A80" s="5" t="str">
        <f t="shared" si="37"/>
        <v>STEM</v>
      </c>
      <c r="B80" s="5" t="str">
        <f t="shared" si="12"/>
        <v>SPS2</v>
      </c>
      <c r="C80" s="5" t="str">
        <f t="shared" si="38"/>
        <v>CH</v>
      </c>
      <c r="D80" t="s">
        <v>797</v>
      </c>
      <c r="E80" t="str">
        <f>E129</f>
        <v>PJ/yr.</v>
      </c>
      <c r="F80" s="1">
        <f>SUM(F81:F95)</f>
        <v>3.2392334776108571</v>
      </c>
      <c r="G80" s="1">
        <f t="shared" ref="G80:K80" si="52">SUM(G81:G95)</f>
        <v>1.8308026985119281</v>
      </c>
      <c r="H80" s="1">
        <f t="shared" si="52"/>
        <v>1.2194020802647909</v>
      </c>
      <c r="I80" s="1">
        <f t="shared" si="52"/>
        <v>1.1448978762078732</v>
      </c>
      <c r="J80" s="1">
        <f t="shared" si="52"/>
        <v>1.7939886606063458</v>
      </c>
      <c r="K80" s="1">
        <f t="shared" si="52"/>
        <v>1.7795390455971374</v>
      </c>
    </row>
    <row r="81" spans="1:11" x14ac:dyDescent="0.35">
      <c r="A81" s="5" t="str">
        <f t="shared" si="37"/>
        <v>STEM</v>
      </c>
      <c r="B81" s="5" t="str">
        <f t="shared" si="12"/>
        <v>SPS2</v>
      </c>
      <c r="C81" s="5" t="str">
        <f t="shared" si="38"/>
        <v>CH</v>
      </c>
      <c r="D81" t="s">
        <v>35</v>
      </c>
      <c r="E81" t="str">
        <f>E130</f>
        <v>PJ/yr.</v>
      </c>
      <c r="F81" s="1">
        <f>'[1]Electricity and CHPs'!B21</f>
        <v>0</v>
      </c>
      <c r="G81" s="1">
        <f>'[1]Electricity and CHPs'!C21</f>
        <v>0</v>
      </c>
      <c r="H81" s="1">
        <f>'[1]Electricity and CHPs'!D21</f>
        <v>0</v>
      </c>
      <c r="I81" s="1">
        <f>'[1]Electricity and CHPs'!E21</f>
        <v>0</v>
      </c>
      <c r="J81" s="1">
        <f>'[1]Electricity and CHPs'!F21</f>
        <v>6.2454487437472718E-5</v>
      </c>
      <c r="K81" s="1">
        <f>'[1]Electricity and CHPs'!G21</f>
        <v>1.9383487661392002E-3</v>
      </c>
    </row>
    <row r="82" spans="1:11" x14ac:dyDescent="0.35">
      <c r="A82" s="5" t="str">
        <f t="shared" si="37"/>
        <v>STEM</v>
      </c>
      <c r="B82" s="5" t="str">
        <f t="shared" si="12"/>
        <v>SPS2</v>
      </c>
      <c r="C82" s="5" t="str">
        <f t="shared" si="38"/>
        <v>CH</v>
      </c>
      <c r="D82" t="s">
        <v>36</v>
      </c>
      <c r="E82" t="str">
        <f>E81</f>
        <v>PJ/yr.</v>
      </c>
      <c r="F82" s="1">
        <f>'[1]Electricity and CHPs'!B22</f>
        <v>0</v>
      </c>
      <c r="G82" s="1">
        <f>'[1]Electricity and CHPs'!C22</f>
        <v>0</v>
      </c>
      <c r="H82" s="1">
        <f>'[1]Electricity and CHPs'!D22</f>
        <v>0</v>
      </c>
      <c r="I82" s="1">
        <f>'[1]Electricity and CHPs'!E22</f>
        <v>0</v>
      </c>
      <c r="J82" s="1">
        <f>'[1]Electricity and CHPs'!F22</f>
        <v>2.7262929701074065E-5</v>
      </c>
      <c r="K82" s="1">
        <f>'[1]Electricity and CHPs'!G22</f>
        <v>1.4748344558421164E-3</v>
      </c>
    </row>
    <row r="83" spans="1:11" x14ac:dyDescent="0.35">
      <c r="A83" s="5" t="str">
        <f t="shared" si="37"/>
        <v>STEM</v>
      </c>
      <c r="B83" s="5" t="str">
        <f t="shared" si="12"/>
        <v>SPS2</v>
      </c>
      <c r="C83" s="5" t="str">
        <f t="shared" si="38"/>
        <v>CH</v>
      </c>
      <c r="D83" t="s">
        <v>37</v>
      </c>
      <c r="E83" t="str">
        <f>E82</f>
        <v>PJ/yr.</v>
      </c>
      <c r="F83" s="1">
        <f>'[1]Electricity and CHPs'!B23</f>
        <v>0</v>
      </c>
      <c r="G83" s="1">
        <f>'[1]Electricity and CHPs'!C23</f>
        <v>0</v>
      </c>
      <c r="H83" s="1">
        <f>'[1]Electricity and CHPs'!D23</f>
        <v>0</v>
      </c>
      <c r="I83" s="1">
        <f>'[1]Electricity and CHPs'!E23</f>
        <v>0</v>
      </c>
      <c r="J83" s="1">
        <f>'[1]Electricity and CHPs'!F23</f>
        <v>0</v>
      </c>
      <c r="K83" s="1">
        <f>'[1]Electricity and CHPs'!G23</f>
        <v>0</v>
      </c>
    </row>
    <row r="84" spans="1:11" x14ac:dyDescent="0.35">
      <c r="A84" s="5" t="str">
        <f t="shared" si="37"/>
        <v>STEM</v>
      </c>
      <c r="B84" s="5" t="str">
        <f t="shared" si="12"/>
        <v>SPS2</v>
      </c>
      <c r="C84" s="5" t="str">
        <f t="shared" si="38"/>
        <v>CH</v>
      </c>
      <c r="D84" t="s">
        <v>38</v>
      </c>
      <c r="E84" t="str">
        <f>E83</f>
        <v>PJ/yr.</v>
      </c>
      <c r="F84" s="1">
        <f>'[1]Electricity and CHPs'!B24</f>
        <v>0.96588931287124591</v>
      </c>
      <c r="G84" s="1">
        <f>'[1]Electricity and CHPs'!C24</f>
        <v>5.4438235756096073E-3</v>
      </c>
      <c r="H84" s="1">
        <f>'[1]Electricity and CHPs'!D24</f>
        <v>1.2990750156893157E-2</v>
      </c>
      <c r="I84" s="1">
        <f>'[1]Electricity and CHPs'!E24</f>
        <v>0</v>
      </c>
      <c r="J84" s="1">
        <f>'[1]Electricity and CHPs'!F24</f>
        <v>0</v>
      </c>
      <c r="K84" s="1">
        <f>'[1]Electricity and CHPs'!G24</f>
        <v>0</v>
      </c>
    </row>
    <row r="85" spans="1:11" x14ac:dyDescent="0.35">
      <c r="A85" s="5" t="str">
        <f t="shared" si="37"/>
        <v>STEM</v>
      </c>
      <c r="B85" s="5" t="str">
        <f t="shared" si="12"/>
        <v>SPS2</v>
      </c>
      <c r="C85" s="5" t="str">
        <f t="shared" si="38"/>
        <v>CH</v>
      </c>
      <c r="D85" t="s">
        <v>39</v>
      </c>
      <c r="E85" t="str">
        <f>E74</f>
        <v>PJ/yr.</v>
      </c>
      <c r="F85" s="1">
        <f>'[1]Electricity and CHPs'!B29</f>
        <v>0</v>
      </c>
      <c r="G85" s="1">
        <f>'[1]Electricity and CHPs'!C29</f>
        <v>0</v>
      </c>
      <c r="H85" s="1">
        <f>'[1]Electricity and CHPs'!D29</f>
        <v>0</v>
      </c>
      <c r="I85" s="1">
        <f>'[1]Electricity and CHPs'!E29</f>
        <v>0</v>
      </c>
      <c r="J85" s="1">
        <f>'[1]Electricity and CHPs'!F29</f>
        <v>0</v>
      </c>
      <c r="K85" s="1">
        <f>'[1]Electricity and CHPs'!G29</f>
        <v>0</v>
      </c>
    </row>
    <row r="86" spans="1:11" x14ac:dyDescent="0.35">
      <c r="A86" s="5" t="str">
        <f t="shared" si="37"/>
        <v>STEM</v>
      </c>
      <c r="B86" s="5" t="str">
        <f t="shared" si="12"/>
        <v>SPS2</v>
      </c>
      <c r="C86" s="5" t="str">
        <f t="shared" si="38"/>
        <v>CH</v>
      </c>
      <c r="D86" t="s">
        <v>41</v>
      </c>
      <c r="E86" t="str">
        <f>E164</f>
        <v>PJ/yr.</v>
      </c>
      <c r="F86" s="1">
        <f>'[1]Electricity and CHPs'!B39</f>
        <v>0.67002398736930913</v>
      </c>
      <c r="G86" s="1">
        <f>'[1]Electricity and CHPs'!C39</f>
        <v>8.0525760769829091E-2</v>
      </c>
      <c r="H86" s="1">
        <f>'[1]Electricity and CHPs'!D39</f>
        <v>5.2666917697216598E-2</v>
      </c>
      <c r="I86" s="1">
        <f>'[1]Electricity and CHPs'!E39</f>
        <v>2.4764086765531348E-2</v>
      </c>
      <c r="J86" s="1">
        <f>'[1]Electricity and CHPs'!F39</f>
        <v>0.65882464014851272</v>
      </c>
      <c r="K86" s="1">
        <f>'[1]Electricity and CHPs'!G39</f>
        <v>0.42370776001149957</v>
      </c>
    </row>
    <row r="87" spans="1:11" x14ac:dyDescent="0.35">
      <c r="A87" s="5" t="str">
        <f t="shared" si="37"/>
        <v>STEM</v>
      </c>
      <c r="B87" s="5" t="str">
        <f t="shared" si="12"/>
        <v>SPS2</v>
      </c>
      <c r="C87" s="5" t="str">
        <f t="shared" si="38"/>
        <v>CH</v>
      </c>
      <c r="D87" t="s">
        <v>42</v>
      </c>
      <c r="E87" t="str">
        <f>E86</f>
        <v>PJ/yr.</v>
      </c>
      <c r="F87" s="1">
        <f>'[1]Electricity and CHPs'!B40</f>
        <v>0</v>
      </c>
      <c r="G87" s="1">
        <f>'[1]Electricity and CHPs'!C40</f>
        <v>0</v>
      </c>
      <c r="H87" s="1">
        <f>'[1]Electricity and CHPs'!D40</f>
        <v>0</v>
      </c>
      <c r="I87" s="1">
        <f>'[1]Electricity and CHPs'!E40</f>
        <v>0</v>
      </c>
      <c r="J87" s="1">
        <f>'[1]Electricity and CHPs'!F40</f>
        <v>2.4760135136249984E-3</v>
      </c>
      <c r="K87" s="1">
        <f>'[1]Electricity and CHPs'!G40</f>
        <v>0.24504562695663257</v>
      </c>
    </row>
    <row r="88" spans="1:11" x14ac:dyDescent="0.35">
      <c r="A88" s="5" t="str">
        <f t="shared" si="37"/>
        <v>STEM</v>
      </c>
      <c r="B88" s="5" t="str">
        <f t="shared" si="37"/>
        <v>SPS2</v>
      </c>
      <c r="C88" s="5" t="str">
        <f t="shared" si="38"/>
        <v>CH</v>
      </c>
      <c r="D88" t="s">
        <v>43</v>
      </c>
      <c r="E88" t="str">
        <f>E169</f>
        <v>PJ/yr.</v>
      </c>
      <c r="F88" s="1">
        <f>'[1]Electricity and CHPs'!B47</f>
        <v>0</v>
      </c>
      <c r="G88" s="1">
        <f>'[1]Electricity and CHPs'!C47</f>
        <v>0</v>
      </c>
      <c r="H88" s="1">
        <f>'[1]Electricity and CHPs'!D47</f>
        <v>0</v>
      </c>
      <c r="I88" s="1">
        <f>'[1]Electricity and CHPs'!E47</f>
        <v>0</v>
      </c>
      <c r="J88" s="1">
        <f>'[1]Electricity and CHPs'!F47</f>
        <v>8.71588200568762E-3</v>
      </c>
      <c r="K88" s="1">
        <f>'[1]Electricity and CHPs'!G47</f>
        <v>1.2892626326436306E-3</v>
      </c>
    </row>
    <row r="89" spans="1:11" x14ac:dyDescent="0.35">
      <c r="A89" s="5" t="str">
        <f t="shared" si="37"/>
        <v>STEM</v>
      </c>
      <c r="B89" s="5" t="str">
        <f t="shared" si="37"/>
        <v>SPS2</v>
      </c>
      <c r="C89" s="5" t="str">
        <f t="shared" si="38"/>
        <v>CH</v>
      </c>
      <c r="D89" t="s">
        <v>44</v>
      </c>
      <c r="E89" t="str">
        <f>E88</f>
        <v>PJ/yr.</v>
      </c>
      <c r="F89" s="1">
        <f>'[1]Electricity and CHPs'!B48</f>
        <v>1.9675362830614433E-2</v>
      </c>
      <c r="G89" s="1">
        <f>'[1]Electricity and CHPs'!C48</f>
        <v>5.1064387509685517E-3</v>
      </c>
      <c r="H89" s="1">
        <f>'[1]Electricity and CHPs'!D48</f>
        <v>1.2892139936768021E-2</v>
      </c>
      <c r="I89" s="1">
        <f>'[1]Electricity and CHPs'!E48</f>
        <v>4.4382648650243923E-3</v>
      </c>
      <c r="J89" s="1">
        <f>'[1]Electricity and CHPs'!F48</f>
        <v>3.7463717637469954E-3</v>
      </c>
      <c r="K89" s="1">
        <f>'[1]Electricity and CHPs'!G48</f>
        <v>0</v>
      </c>
    </row>
    <row r="90" spans="1:11" x14ac:dyDescent="0.35">
      <c r="A90" s="5" t="str">
        <f t="shared" si="37"/>
        <v>STEM</v>
      </c>
      <c r="B90" s="5" t="str">
        <f t="shared" si="37"/>
        <v>SPS2</v>
      </c>
      <c r="C90" s="5" t="str">
        <f t="shared" si="38"/>
        <v>CH</v>
      </c>
      <c r="D90" t="s">
        <v>45</v>
      </c>
      <c r="E90" t="str">
        <f>E89</f>
        <v>PJ/yr.</v>
      </c>
      <c r="F90" s="1">
        <f>'[1]Electricity and CHPs'!B49</f>
        <v>0</v>
      </c>
      <c r="G90" s="1">
        <f>'[1]Electricity and CHPs'!C49</f>
        <v>0</v>
      </c>
      <c r="H90" s="1">
        <f>'[1]Electricity and CHPs'!D49</f>
        <v>0</v>
      </c>
      <c r="I90" s="1">
        <f>'[1]Electricity and CHPs'!E49</f>
        <v>0</v>
      </c>
      <c r="J90" s="1">
        <f>'[1]Electricity and CHPs'!F49</f>
        <v>0</v>
      </c>
      <c r="K90" s="1">
        <f>'[1]Electricity and CHPs'!G49</f>
        <v>0</v>
      </c>
    </row>
    <row r="91" spans="1:11" x14ac:dyDescent="0.35">
      <c r="A91" s="5" t="str">
        <f t="shared" si="37"/>
        <v>STEM</v>
      </c>
      <c r="B91" s="5" t="str">
        <f t="shared" si="37"/>
        <v>SPS2</v>
      </c>
      <c r="C91" s="5" t="str">
        <f t="shared" si="38"/>
        <v>CH</v>
      </c>
      <c r="D91" t="s">
        <v>46</v>
      </c>
      <c r="E91" t="str">
        <f>E154</f>
        <v>PJ/yr.</v>
      </c>
      <c r="F91" s="1">
        <f>'[1]Electricity and CHPs'!B51</f>
        <v>2.9814103418875665E-2</v>
      </c>
      <c r="G91" s="1">
        <f>'[1]Electricity and CHPs'!C51</f>
        <v>7.5284300641630776E-3</v>
      </c>
      <c r="H91" s="1">
        <f>'[1]Electricity and CHPs'!D51</f>
        <v>2.4216397767852726E-2</v>
      </c>
      <c r="I91" s="1">
        <f>'[1]Electricity and CHPs'!E51</f>
        <v>7.6103352097430044E-3</v>
      </c>
      <c r="J91" s="1">
        <f>'[1]Electricity and CHPs'!F51</f>
        <v>1.2254558460779486E-2</v>
      </c>
      <c r="K91" s="1">
        <f>'[1]Electricity and CHPs'!G51</f>
        <v>0</v>
      </c>
    </row>
    <row r="92" spans="1:11" x14ac:dyDescent="0.35">
      <c r="A92" s="5" t="str">
        <f t="shared" si="37"/>
        <v>STEM</v>
      </c>
      <c r="B92" s="5" t="str">
        <f t="shared" si="37"/>
        <v>SPS2</v>
      </c>
      <c r="C92" s="5" t="str">
        <f t="shared" si="38"/>
        <v>CH</v>
      </c>
      <c r="D92" t="s">
        <v>47</v>
      </c>
      <c r="E92" t="str">
        <f>E91</f>
        <v>PJ/yr.</v>
      </c>
      <c r="F92" s="1">
        <f>'[1]Electricity and CHPs'!B52</f>
        <v>0</v>
      </c>
      <c r="G92" s="1">
        <f>'[1]Electricity and CHPs'!C52</f>
        <v>0</v>
      </c>
      <c r="H92" s="1">
        <f>'[1]Electricity and CHPs'!D52</f>
        <v>0</v>
      </c>
      <c r="I92" s="1">
        <f>'[1]Electricity and CHPs'!E52</f>
        <v>0</v>
      </c>
      <c r="J92" s="1">
        <f>'[1]Electricity and CHPs'!F52</f>
        <v>0</v>
      </c>
      <c r="K92" s="1">
        <f>'[1]Electricity and CHPs'!G52</f>
        <v>0</v>
      </c>
    </row>
    <row r="93" spans="1:11" x14ac:dyDescent="0.35">
      <c r="A93" s="5" t="str">
        <f t="shared" si="37"/>
        <v>STEM</v>
      </c>
      <c r="B93" s="5" t="str">
        <f t="shared" si="37"/>
        <v>SPS2</v>
      </c>
      <c r="C93" s="5" t="str">
        <f t="shared" si="38"/>
        <v>CH</v>
      </c>
      <c r="D93" t="s">
        <v>84</v>
      </c>
      <c r="E93" t="str">
        <f>E155</f>
        <v>PJ/yr.</v>
      </c>
      <c r="F93" s="1">
        <f>'[1]Electricity and CHPs'!B54</f>
        <v>0.95939536569076544</v>
      </c>
      <c r="G93" s="1">
        <f>'[1]Electricity and CHPs'!C54</f>
        <v>1.1060703167322454</v>
      </c>
      <c r="H93" s="1">
        <f>'[1]Electricity and CHPs'!D54</f>
        <v>1.1060629396198327</v>
      </c>
      <c r="I93" s="1">
        <f>'[1]Electricity and CHPs'!E54</f>
        <v>1.1060657494448614</v>
      </c>
      <c r="J93" s="1">
        <f>'[1]Electricity and CHPs'!F54</f>
        <v>1.106084943625381</v>
      </c>
      <c r="K93" s="1">
        <f>'[1]Electricity and CHPs'!G54</f>
        <v>1.1060832127743803</v>
      </c>
    </row>
    <row r="94" spans="1:11" x14ac:dyDescent="0.35">
      <c r="A94" s="5" t="str">
        <f t="shared" si="37"/>
        <v>STEM</v>
      </c>
      <c r="B94" s="5" t="str">
        <f t="shared" si="37"/>
        <v>SPS2</v>
      </c>
      <c r="C94" s="5" t="str">
        <f t="shared" si="38"/>
        <v>CH</v>
      </c>
      <c r="D94" t="s">
        <v>85</v>
      </c>
      <c r="E94" t="str">
        <f>E93</f>
        <v>PJ/yr.</v>
      </c>
      <c r="F94" s="1">
        <f>'[1]Electricity and CHPs'!B55</f>
        <v>0.59443534543004661</v>
      </c>
      <c r="G94" s="1">
        <f>'[1]Electricity and CHPs'!C55</f>
        <v>0.62612792861911226</v>
      </c>
      <c r="H94" s="1">
        <f>'[1]Electricity and CHPs'!D55</f>
        <v>1.0572935086227702E-2</v>
      </c>
      <c r="I94" s="1">
        <f>'[1]Electricity and CHPs'!E55</f>
        <v>2.0194399227131178E-3</v>
      </c>
      <c r="J94" s="1">
        <f>'[1]Electricity and CHPs'!F55</f>
        <v>1.7965336714741678E-3</v>
      </c>
      <c r="K94" s="1">
        <f>'[1]Electricity and CHPs'!G55</f>
        <v>0</v>
      </c>
    </row>
    <row r="95" spans="1:11" x14ac:dyDescent="0.35">
      <c r="A95" s="5" t="str">
        <f t="shared" si="37"/>
        <v>STEM</v>
      </c>
      <c r="B95" s="5" t="str">
        <f t="shared" si="37"/>
        <v>SPS2</v>
      </c>
      <c r="C95" s="5" t="str">
        <f t="shared" si="38"/>
        <v>CH</v>
      </c>
      <c r="D95" t="s">
        <v>88</v>
      </c>
      <c r="E95" t="str">
        <f>E170</f>
        <v>PJ/yr.</v>
      </c>
      <c r="F95" s="1">
        <f>'[1]Electricity and CHPs'!B58</f>
        <v>0</v>
      </c>
      <c r="G95" s="1">
        <f>'[1]Electricity and CHPs'!C58</f>
        <v>0</v>
      </c>
      <c r="H95" s="1">
        <f>'[1]Electricity and CHPs'!D58</f>
        <v>0</v>
      </c>
      <c r="I95" s="1">
        <f>'[1]Electricity and CHPs'!E58</f>
        <v>0</v>
      </c>
      <c r="J95" s="1">
        <f>'[1]Electricity and CHPs'!F58</f>
        <v>0</v>
      </c>
      <c r="K95" s="1">
        <f>'[1]Electricity and CHPs'!G58</f>
        <v>0</v>
      </c>
    </row>
    <row r="96" spans="1:11" x14ac:dyDescent="0.35">
      <c r="A96" s="5" t="str">
        <f t="shared" ref="A96:B111" si="53">A95</f>
        <v>STEM</v>
      </c>
      <c r="B96" s="5" t="str">
        <f t="shared" si="53"/>
        <v>SPS2</v>
      </c>
      <c r="C96" s="5" t="str">
        <f t="shared" ref="C96:C111" si="54">C95</f>
        <v>CH</v>
      </c>
      <c r="D96" t="s">
        <v>798</v>
      </c>
      <c r="E96" t="str">
        <f t="shared" ref="E96:E106" si="55">E171</f>
        <v>PJ/yr.</v>
      </c>
      <c r="F96" s="1">
        <f>F80-F112</f>
        <v>2.2212736726747342</v>
      </c>
      <c r="G96" s="1">
        <f t="shared" ref="G96:K96" si="56">G80-G112</f>
        <v>0.71025385297083066</v>
      </c>
      <c r="H96" s="1">
        <f t="shared" si="56"/>
        <v>0.11121842294512851</v>
      </c>
      <c r="I96" s="1">
        <f t="shared" si="56"/>
        <v>3.5694008014887313E-2</v>
      </c>
      <c r="J96" s="1">
        <f t="shared" si="56"/>
        <v>0.40991287683613709</v>
      </c>
      <c r="K96" s="1">
        <f t="shared" si="56"/>
        <v>0.25805213611983957</v>
      </c>
    </row>
    <row r="97" spans="1:11" x14ac:dyDescent="0.35">
      <c r="A97" s="5" t="str">
        <f t="shared" si="53"/>
        <v>STEM</v>
      </c>
      <c r="B97" s="5" t="str">
        <f t="shared" si="53"/>
        <v>SPS2</v>
      </c>
      <c r="C97" s="5" t="str">
        <f t="shared" si="54"/>
        <v>CH</v>
      </c>
      <c r="D97" t="s">
        <v>552</v>
      </c>
      <c r="E97" t="str">
        <f t="shared" si="55"/>
        <v>PJ/yr.</v>
      </c>
      <c r="F97" s="1">
        <f t="shared" ref="F97:K97" si="57">F81-F113</f>
        <v>0</v>
      </c>
      <c r="G97" s="1">
        <f t="shared" si="57"/>
        <v>0</v>
      </c>
      <c r="H97" s="1">
        <f t="shared" si="57"/>
        <v>0</v>
      </c>
      <c r="I97" s="1">
        <f t="shared" si="57"/>
        <v>0</v>
      </c>
      <c r="J97" s="1">
        <f t="shared" si="57"/>
        <v>3.7215816668612702E-5</v>
      </c>
      <c r="K97" s="1">
        <f t="shared" si="57"/>
        <v>7.4272879566716779E-4</v>
      </c>
    </row>
    <row r="98" spans="1:11" x14ac:dyDescent="0.35">
      <c r="A98" s="5" t="str">
        <f t="shared" si="53"/>
        <v>STEM</v>
      </c>
      <c r="B98" s="5" t="str">
        <f t="shared" si="53"/>
        <v>SPS2</v>
      </c>
      <c r="C98" s="5" t="str">
        <f t="shared" si="54"/>
        <v>CH</v>
      </c>
      <c r="D98" t="s">
        <v>553</v>
      </c>
      <c r="E98" t="str">
        <f t="shared" si="55"/>
        <v>PJ/yr.</v>
      </c>
      <c r="F98" s="1">
        <f t="shared" ref="F98:K98" si="58">F82-F114</f>
        <v>0</v>
      </c>
      <c r="G98" s="1">
        <f t="shared" si="58"/>
        <v>0</v>
      </c>
      <c r="H98" s="1">
        <f t="shared" si="58"/>
        <v>0</v>
      </c>
      <c r="I98" s="1">
        <f t="shared" si="58"/>
        <v>0</v>
      </c>
      <c r="J98" s="1">
        <f t="shared" si="58"/>
        <v>1.624562517817864E-5</v>
      </c>
      <c r="K98" s="1">
        <f t="shared" si="58"/>
        <v>5.6512121984005884E-4</v>
      </c>
    </row>
    <row r="99" spans="1:11" x14ac:dyDescent="0.35">
      <c r="A99" s="5" t="str">
        <f t="shared" si="53"/>
        <v>STEM</v>
      </c>
      <c r="B99" s="5" t="str">
        <f t="shared" si="53"/>
        <v>SPS2</v>
      </c>
      <c r="C99" s="5" t="str">
        <f t="shared" si="54"/>
        <v>CH</v>
      </c>
      <c r="D99" t="s">
        <v>554</v>
      </c>
      <c r="E99" t="str">
        <f t="shared" si="55"/>
        <v>PJ/yr.</v>
      </c>
      <c r="F99" s="1">
        <f t="shared" ref="F99:K99" si="59">F83-F115</f>
        <v>0</v>
      </c>
      <c r="G99" s="1">
        <f t="shared" si="59"/>
        <v>0</v>
      </c>
      <c r="H99" s="1">
        <f t="shared" si="59"/>
        <v>0</v>
      </c>
      <c r="I99" s="1">
        <f t="shared" si="59"/>
        <v>0</v>
      </c>
      <c r="J99" s="1">
        <f t="shared" si="59"/>
        <v>0</v>
      </c>
      <c r="K99" s="1">
        <f t="shared" si="59"/>
        <v>0</v>
      </c>
    </row>
    <row r="100" spans="1:11" x14ac:dyDescent="0.35">
      <c r="A100" s="5" t="str">
        <f t="shared" si="53"/>
        <v>STEM</v>
      </c>
      <c r="B100" s="5" t="str">
        <f t="shared" si="53"/>
        <v>SPS2</v>
      </c>
      <c r="C100" s="5" t="str">
        <f t="shared" si="54"/>
        <v>CH</v>
      </c>
      <c r="D100" t="s">
        <v>555</v>
      </c>
      <c r="E100" t="str">
        <f t="shared" si="55"/>
        <v>PJ/yr.</v>
      </c>
      <c r="F100" s="1">
        <f t="shared" ref="F100:K100" si="60">F84-F116</f>
        <v>0.94107756606973836</v>
      </c>
      <c r="G100" s="1">
        <f t="shared" si="60"/>
        <v>5.3350681805819679E-3</v>
      </c>
      <c r="H100" s="1">
        <f t="shared" si="60"/>
        <v>1.2747676902278593E-2</v>
      </c>
      <c r="I100" s="1">
        <f t="shared" si="60"/>
        <v>0</v>
      </c>
      <c r="J100" s="1">
        <f t="shared" si="60"/>
        <v>0</v>
      </c>
      <c r="K100" s="1">
        <f t="shared" si="60"/>
        <v>0</v>
      </c>
    </row>
    <row r="101" spans="1:11" x14ac:dyDescent="0.35">
      <c r="A101" s="5" t="str">
        <f t="shared" si="53"/>
        <v>STEM</v>
      </c>
      <c r="B101" s="5" t="str">
        <f t="shared" si="53"/>
        <v>SPS2</v>
      </c>
      <c r="C101" s="5" t="str">
        <f t="shared" si="54"/>
        <v>CH</v>
      </c>
      <c r="D101" t="s">
        <v>556</v>
      </c>
      <c r="E101" t="str">
        <f t="shared" si="55"/>
        <v>PJ/yr.</v>
      </c>
      <c r="F101" s="1">
        <f t="shared" ref="F101:K101" si="61">F85-F117</f>
        <v>0</v>
      </c>
      <c r="G101" s="1">
        <f t="shared" si="61"/>
        <v>0</v>
      </c>
      <c r="H101" s="1">
        <f t="shared" si="61"/>
        <v>0</v>
      </c>
      <c r="I101" s="1">
        <f t="shared" si="61"/>
        <v>0</v>
      </c>
      <c r="J101" s="1">
        <f t="shared" si="61"/>
        <v>0</v>
      </c>
      <c r="K101" s="1">
        <f t="shared" si="61"/>
        <v>0</v>
      </c>
    </row>
    <row r="102" spans="1:11" x14ac:dyDescent="0.35">
      <c r="A102" s="5" t="str">
        <f t="shared" si="53"/>
        <v>STEM</v>
      </c>
      <c r="B102" s="5" t="str">
        <f t="shared" si="53"/>
        <v>SPS2</v>
      </c>
      <c r="C102" s="5" t="str">
        <f t="shared" si="54"/>
        <v>CH</v>
      </c>
      <c r="D102" t="s">
        <v>557</v>
      </c>
      <c r="E102" t="str">
        <f t="shared" si="55"/>
        <v>PJ/yr.</v>
      </c>
      <c r="F102" s="1">
        <f t="shared" ref="F102:K102" si="62">F86-F118</f>
        <v>0.65281242357622282</v>
      </c>
      <c r="G102" s="1">
        <f t="shared" si="62"/>
        <v>7.8917036533859841E-2</v>
      </c>
      <c r="H102" s="1">
        <f t="shared" si="62"/>
        <v>5.1681453506113917E-2</v>
      </c>
      <c r="I102" s="1">
        <f t="shared" si="62"/>
        <v>2.2762840595488512E-2</v>
      </c>
      <c r="J102" s="1">
        <f t="shared" si="62"/>
        <v>0.39258503320644589</v>
      </c>
      <c r="K102" s="1">
        <f t="shared" si="62"/>
        <v>0.16235465970089236</v>
      </c>
    </row>
    <row r="103" spans="1:11" x14ac:dyDescent="0.35">
      <c r="A103" s="5" t="str">
        <f t="shared" si="53"/>
        <v>STEM</v>
      </c>
      <c r="B103" s="5" t="str">
        <f t="shared" si="53"/>
        <v>SPS2</v>
      </c>
      <c r="C103" s="5" t="str">
        <f t="shared" si="54"/>
        <v>CH</v>
      </c>
      <c r="D103" t="s">
        <v>558</v>
      </c>
      <c r="E103" t="str">
        <f t="shared" si="55"/>
        <v>PJ/yr.</v>
      </c>
      <c r="F103" s="1">
        <f t="shared" ref="F103:K103" si="63">F87-F119</f>
        <v>0</v>
      </c>
      <c r="G103" s="1">
        <f t="shared" si="63"/>
        <v>0</v>
      </c>
      <c r="H103" s="1">
        <f t="shared" si="63"/>
        <v>0</v>
      </c>
      <c r="I103" s="1">
        <f t="shared" si="63"/>
        <v>0</v>
      </c>
      <c r="J103" s="1">
        <f t="shared" si="63"/>
        <v>1.4754242452846929E-3</v>
      </c>
      <c r="K103" s="1">
        <f t="shared" si="63"/>
        <v>9.3895611859117545E-2</v>
      </c>
    </row>
    <row r="104" spans="1:11" x14ac:dyDescent="0.35">
      <c r="A104" s="5" t="str">
        <f t="shared" si="53"/>
        <v>STEM</v>
      </c>
      <c r="B104" s="5" t="str">
        <f t="shared" si="53"/>
        <v>SPS2</v>
      </c>
      <c r="C104" s="5" t="str">
        <f t="shared" si="54"/>
        <v>CH</v>
      </c>
      <c r="D104" t="s">
        <v>559</v>
      </c>
      <c r="E104" t="str">
        <f t="shared" si="55"/>
        <v>PJ/yr.</v>
      </c>
      <c r="F104" s="1">
        <f t="shared" ref="F104:K104" si="64">F88-F120</f>
        <v>0</v>
      </c>
      <c r="G104" s="1">
        <f t="shared" si="64"/>
        <v>0</v>
      </c>
      <c r="H104" s="1">
        <f t="shared" si="64"/>
        <v>0</v>
      </c>
      <c r="I104" s="1">
        <f t="shared" si="64"/>
        <v>0</v>
      </c>
      <c r="J104" s="1">
        <f t="shared" si="64"/>
        <v>5.1936807127538689E-3</v>
      </c>
      <c r="K104" s="1">
        <f t="shared" si="64"/>
        <v>4.9401454432237036E-4</v>
      </c>
    </row>
    <row r="105" spans="1:11" x14ac:dyDescent="0.35">
      <c r="A105" s="5" t="str">
        <f t="shared" si="53"/>
        <v>STEM</v>
      </c>
      <c r="B105" s="5" t="str">
        <f t="shared" si="53"/>
        <v>SPS2</v>
      </c>
      <c r="C105" s="5" t="str">
        <f t="shared" si="54"/>
        <v>CH</v>
      </c>
      <c r="D105" t="s">
        <v>560</v>
      </c>
      <c r="E105" t="str">
        <f t="shared" si="55"/>
        <v>PJ/yr.</v>
      </c>
      <c r="F105" s="1">
        <f t="shared" ref="F105:K105" si="65">F89-F121</f>
        <v>1.9169942474186831E-2</v>
      </c>
      <c r="G105" s="1">
        <f t="shared" si="65"/>
        <v>5.0044235486327851E-3</v>
      </c>
      <c r="H105" s="1">
        <f t="shared" si="65"/>
        <v>1.2650911803247667E-2</v>
      </c>
      <c r="I105" s="1">
        <f t="shared" si="65"/>
        <v>4.0795978708863924E-3</v>
      </c>
      <c r="J105" s="1">
        <f t="shared" si="65"/>
        <v>2.2324142019684683E-3</v>
      </c>
      <c r="K105" s="1">
        <f t="shared" si="65"/>
        <v>0</v>
      </c>
    </row>
    <row r="106" spans="1:11" x14ac:dyDescent="0.35">
      <c r="A106" s="5" t="str">
        <f t="shared" si="53"/>
        <v>STEM</v>
      </c>
      <c r="B106" s="5" t="str">
        <f t="shared" si="53"/>
        <v>SPS2</v>
      </c>
      <c r="C106" s="5" t="str">
        <f t="shared" si="54"/>
        <v>CH</v>
      </c>
      <c r="D106" t="s">
        <v>561</v>
      </c>
      <c r="E106" t="str">
        <f t="shared" si="55"/>
        <v>PJ/yr.</v>
      </c>
      <c r="F106" s="1">
        <f t="shared" ref="F106:K106" si="66">F90-F122</f>
        <v>0</v>
      </c>
      <c r="G106" s="1">
        <f t="shared" si="66"/>
        <v>0</v>
      </c>
      <c r="H106" s="1">
        <f t="shared" si="66"/>
        <v>0</v>
      </c>
      <c r="I106" s="1">
        <f t="shared" si="66"/>
        <v>0</v>
      </c>
      <c r="J106" s="1">
        <f t="shared" si="66"/>
        <v>0</v>
      </c>
      <c r="K106" s="1">
        <f t="shared" si="66"/>
        <v>0</v>
      </c>
    </row>
    <row r="107" spans="1:11" x14ac:dyDescent="0.35">
      <c r="A107" s="5" t="str">
        <f t="shared" si="53"/>
        <v>STEM</v>
      </c>
      <c r="B107" s="5" t="str">
        <f t="shared" si="53"/>
        <v>SPS2</v>
      </c>
      <c r="C107" s="5" t="str">
        <f t="shared" si="54"/>
        <v>CH</v>
      </c>
      <c r="D107" t="s">
        <v>562</v>
      </c>
      <c r="E107" t="str">
        <f>E183</f>
        <v>PJ/yr.</v>
      </c>
      <c r="F107" s="1">
        <f t="shared" ref="F107:K107" si="67">F91-F123</f>
        <v>2.9048239281768567E-2</v>
      </c>
      <c r="G107" s="1">
        <f t="shared" si="67"/>
        <v>7.3780289032521415E-3</v>
      </c>
      <c r="H107" s="1">
        <f t="shared" si="67"/>
        <v>2.3763278544606841E-2</v>
      </c>
      <c r="I107" s="1">
        <f t="shared" si="67"/>
        <v>6.9953254847553306E-3</v>
      </c>
      <c r="J107" s="1">
        <f t="shared" si="67"/>
        <v>7.3023319819534339E-3</v>
      </c>
      <c r="K107" s="1">
        <f t="shared" si="67"/>
        <v>0</v>
      </c>
    </row>
    <row r="108" spans="1:11" x14ac:dyDescent="0.35">
      <c r="A108" s="5" t="str">
        <f t="shared" si="53"/>
        <v>STEM</v>
      </c>
      <c r="B108" s="5" t="str">
        <f t="shared" si="53"/>
        <v>SPS2</v>
      </c>
      <c r="C108" s="5" t="str">
        <f t="shared" si="54"/>
        <v>CH</v>
      </c>
      <c r="D108" t="s">
        <v>563</v>
      </c>
      <c r="E108" t="str">
        <f>E185</f>
        <v>PJ/yr.</v>
      </c>
      <c r="F108" s="1">
        <f t="shared" ref="F108:K108" si="68">F92-F124</f>
        <v>0</v>
      </c>
      <c r="G108" s="1">
        <f t="shared" si="68"/>
        <v>0</v>
      </c>
      <c r="H108" s="1">
        <f t="shared" si="68"/>
        <v>0</v>
      </c>
      <c r="I108" s="1">
        <f t="shared" si="68"/>
        <v>0</v>
      </c>
      <c r="J108" s="1">
        <f t="shared" si="68"/>
        <v>0</v>
      </c>
      <c r="K108" s="1">
        <f t="shared" si="68"/>
        <v>0</v>
      </c>
    </row>
    <row r="109" spans="1:11" x14ac:dyDescent="0.35">
      <c r="A109" s="5" t="str">
        <f t="shared" si="53"/>
        <v>STEM</v>
      </c>
      <c r="B109" s="5" t="str">
        <f t="shared" si="53"/>
        <v>SPS2</v>
      </c>
      <c r="C109" s="5" t="str">
        <f t="shared" si="54"/>
        <v>CH</v>
      </c>
      <c r="D109" t="s">
        <v>564</v>
      </c>
      <c r="E109" t="str">
        <f>E187</f>
        <v>PJ/yr.</v>
      </c>
      <c r="F109" s="1">
        <f t="shared" ref="F109:K109" si="69">F93-F125</f>
        <v>0</v>
      </c>
      <c r="G109" s="1">
        <f t="shared" si="69"/>
        <v>0</v>
      </c>
      <c r="H109" s="1">
        <f t="shared" si="69"/>
        <v>0</v>
      </c>
      <c r="I109" s="1">
        <f t="shared" si="69"/>
        <v>0</v>
      </c>
      <c r="J109" s="1">
        <f t="shared" si="69"/>
        <v>0</v>
      </c>
      <c r="K109" s="1">
        <f t="shared" si="69"/>
        <v>0</v>
      </c>
    </row>
    <row r="110" spans="1:11" x14ac:dyDescent="0.35">
      <c r="A110" s="5" t="str">
        <f t="shared" si="53"/>
        <v>STEM</v>
      </c>
      <c r="B110" s="5" t="str">
        <f t="shared" si="53"/>
        <v>SPS2</v>
      </c>
      <c r="C110" s="5" t="str">
        <f t="shared" si="54"/>
        <v>CH</v>
      </c>
      <c r="D110" t="s">
        <v>565</v>
      </c>
      <c r="E110" t="str">
        <f>E188</f>
        <v>PJ/yr.</v>
      </c>
      <c r="F110" s="1">
        <f t="shared" ref="F110:K110" si="70">F94-F126</f>
        <v>0.57916550127281752</v>
      </c>
      <c r="G110" s="1">
        <f t="shared" si="70"/>
        <v>0.61361929580450392</v>
      </c>
      <c r="H110" s="1">
        <f t="shared" si="70"/>
        <v>1.0375102188881572E-2</v>
      </c>
      <c r="I110" s="1">
        <f t="shared" si="70"/>
        <v>1.856244063757141E-3</v>
      </c>
      <c r="J110" s="1">
        <f t="shared" si="70"/>
        <v>1.0705310458837677E-3</v>
      </c>
      <c r="K110" s="1">
        <f t="shared" si="70"/>
        <v>0</v>
      </c>
    </row>
    <row r="111" spans="1:11" x14ac:dyDescent="0.35">
      <c r="A111" s="5" t="str">
        <f t="shared" si="53"/>
        <v>STEM</v>
      </c>
      <c r="B111" s="5" t="str">
        <f t="shared" si="53"/>
        <v>SPS2</v>
      </c>
      <c r="C111" s="5" t="str">
        <f t="shared" si="54"/>
        <v>CH</v>
      </c>
      <c r="D111" t="s">
        <v>566</v>
      </c>
      <c r="E111" t="str">
        <f>E193</f>
        <v>PJ/yr.</v>
      </c>
      <c r="F111" s="1">
        <f t="shared" ref="F111:K111" si="71">F95-F127</f>
        <v>0</v>
      </c>
      <c r="G111" s="1">
        <f t="shared" si="71"/>
        <v>0</v>
      </c>
      <c r="H111" s="1">
        <f t="shared" si="71"/>
        <v>0</v>
      </c>
      <c r="I111" s="1">
        <f t="shared" si="71"/>
        <v>0</v>
      </c>
      <c r="J111" s="1">
        <f t="shared" si="71"/>
        <v>0</v>
      </c>
      <c r="K111" s="1">
        <f t="shared" si="71"/>
        <v>0</v>
      </c>
    </row>
    <row r="112" spans="1:11" x14ac:dyDescent="0.35">
      <c r="A112" s="5" t="str">
        <f>A95</f>
        <v>STEM</v>
      </c>
      <c r="B112" s="5" t="str">
        <f t="shared" ref="B112:B175" si="72">B111</f>
        <v>SPS2</v>
      </c>
      <c r="C112" s="5" t="str">
        <f>C95</f>
        <v>CH</v>
      </c>
      <c r="D112" t="s">
        <v>799</v>
      </c>
      <c r="E112" t="str">
        <f>E95</f>
        <v>PJ/yr.</v>
      </c>
      <c r="F112" s="1">
        <f>SUM(F113:F127)</f>
        <v>1.0179598049361229</v>
      </c>
      <c r="G112" s="1">
        <f t="shared" ref="G112:K112" si="73">SUM(G113:G127)</f>
        <v>1.1205488455410975</v>
      </c>
      <c r="H112" s="1">
        <f t="shared" si="73"/>
        <v>1.1081836573196624</v>
      </c>
      <c r="I112" s="1">
        <f t="shared" si="73"/>
        <v>1.1092038681929859</v>
      </c>
      <c r="J112" s="1">
        <f t="shared" si="73"/>
        <v>1.3840757837702087</v>
      </c>
      <c r="K112" s="1">
        <f t="shared" si="73"/>
        <v>1.5214869094772978</v>
      </c>
    </row>
    <row r="113" spans="1:11" x14ac:dyDescent="0.35">
      <c r="A113" s="5" t="str">
        <f t="shared" si="37"/>
        <v>STEM</v>
      </c>
      <c r="B113" s="5" t="str">
        <f t="shared" si="72"/>
        <v>SPS2</v>
      </c>
      <c r="C113" s="5" t="str">
        <f t="shared" si="38"/>
        <v>CH</v>
      </c>
      <c r="D113" t="s">
        <v>613</v>
      </c>
      <c r="E113" t="str">
        <f t="shared" ref="E113:E128" si="74">E112</f>
        <v>PJ/yr.</v>
      </c>
      <c r="F113" s="1">
        <f>'[1]Electricity and CHPs_IN'!L$23/SUM('[1]Electricity and CHPs_IN'!L$22:L$23)*F81</f>
        <v>0</v>
      </c>
      <c r="G113" s="1">
        <f>'[1]Electricity and CHPs_IN'!M$23/SUM('[1]Electricity and CHPs_IN'!M$22:M$23)*G81</f>
        <v>0</v>
      </c>
      <c r="H113" s="1">
        <f>'[1]Electricity and CHPs_IN'!N$23/SUM('[1]Electricity and CHPs_IN'!N$22:N$23)*H81</f>
        <v>0</v>
      </c>
      <c r="I113" s="1">
        <f>'[1]Electricity and CHPs_IN'!O$23/SUM('[1]Electricity and CHPs_IN'!O$22:O$23)*I81</f>
        <v>0</v>
      </c>
      <c r="J113" s="1">
        <f>'[1]Electricity and CHPs_IN'!P$23/SUM('[1]Electricity and CHPs_IN'!P$22:P$23)*J81</f>
        <v>2.5238670768860016E-5</v>
      </c>
      <c r="K113" s="1">
        <f>'[1]Electricity and CHPs_IN'!Q$23/SUM('[1]Electricity and CHPs_IN'!Q$22:Q$23)*K81</f>
        <v>1.1956199704720324E-3</v>
      </c>
    </row>
    <row r="114" spans="1:11" x14ac:dyDescent="0.35">
      <c r="A114" s="5" t="str">
        <f t="shared" si="37"/>
        <v>STEM</v>
      </c>
      <c r="B114" s="5" t="str">
        <f t="shared" si="72"/>
        <v>SPS2</v>
      </c>
      <c r="C114" s="5" t="str">
        <f t="shared" si="38"/>
        <v>CH</v>
      </c>
      <c r="D114" t="s">
        <v>614</v>
      </c>
      <c r="E114" t="str">
        <f t="shared" si="74"/>
        <v>PJ/yr.</v>
      </c>
      <c r="F114" s="1">
        <f>'[1]Electricity and CHPs_IN'!L$23/SUM('[1]Electricity and CHPs_IN'!L$22:L$23)*F82</f>
        <v>0</v>
      </c>
      <c r="G114" s="1">
        <f>'[1]Electricity and CHPs_IN'!M$23/SUM('[1]Electricity and CHPs_IN'!M$22:M$23)*G82</f>
        <v>0</v>
      </c>
      <c r="H114" s="1">
        <f>'[1]Electricity and CHPs_IN'!N$23/SUM('[1]Electricity and CHPs_IN'!N$22:N$23)*H82</f>
        <v>0</v>
      </c>
      <c r="I114" s="1">
        <f>'[1]Electricity and CHPs_IN'!O$23/SUM('[1]Electricity and CHPs_IN'!O$22:O$23)*I82</f>
        <v>0</v>
      </c>
      <c r="J114" s="1">
        <f>'[1]Electricity and CHPs_IN'!P$23/SUM('[1]Electricity and CHPs_IN'!P$22:P$23)*J82</f>
        <v>1.1017304522895424E-5</v>
      </c>
      <c r="K114" s="1">
        <f>'[1]Electricity and CHPs_IN'!Q$23/SUM('[1]Electricity and CHPs_IN'!Q$22:Q$23)*K82</f>
        <v>9.0971323600205756E-4</v>
      </c>
    </row>
    <row r="115" spans="1:11" x14ac:dyDescent="0.35">
      <c r="A115" s="5" t="str">
        <f t="shared" si="37"/>
        <v>STEM</v>
      </c>
      <c r="B115" s="5" t="str">
        <f t="shared" si="72"/>
        <v>SPS2</v>
      </c>
      <c r="C115" s="5" t="str">
        <f t="shared" si="38"/>
        <v>CH</v>
      </c>
      <c r="D115" t="s">
        <v>615</v>
      </c>
      <c r="E115" t="str">
        <f t="shared" si="74"/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0</v>
      </c>
    </row>
    <row r="116" spans="1:11" x14ac:dyDescent="0.35">
      <c r="A116" s="5" t="str">
        <f t="shared" si="37"/>
        <v>STEM</v>
      </c>
      <c r="B116" s="5" t="str">
        <f t="shared" si="72"/>
        <v>SPS2</v>
      </c>
      <c r="C116" s="5" t="str">
        <f t="shared" si="38"/>
        <v>CH</v>
      </c>
      <c r="D116" t="s">
        <v>616</v>
      </c>
      <c r="E116" t="str">
        <f t="shared" si="74"/>
        <v>PJ/yr.</v>
      </c>
      <c r="F116" s="1">
        <f>'[1]Electricity and CHPs_IN'!L$23/SUM('[1]Electricity and CHPs_IN'!L$22:L$23)*F84</f>
        <v>2.4811746801507554E-2</v>
      </c>
      <c r="G116" s="1">
        <f>'[1]Electricity and CHPs_IN'!M$23/SUM('[1]Electricity and CHPs_IN'!M$22:M$23)*G84</f>
        <v>1.0875539502763903E-4</v>
      </c>
      <c r="H116" s="1">
        <f>'[1]Electricity and CHPs_IN'!N$23/SUM('[1]Electricity and CHPs_IN'!N$22:N$23)*H84</f>
        <v>2.4307325461456314E-4</v>
      </c>
      <c r="I116" s="1">
        <f>'[1]Electricity and CHPs_IN'!O$23/SUM('[1]Electricity and CHPs_IN'!O$22:O$23)*I84</f>
        <v>0</v>
      </c>
      <c r="J116" s="1">
        <f>'[1]Electricity and CHPs_IN'!P$23/SUM('[1]Electricity and CHPs_IN'!P$22:P$23)*J84</f>
        <v>0</v>
      </c>
      <c r="K116" s="1">
        <f>'[1]Electricity and CHPs_IN'!Q$23/SUM('[1]Electricity and CHPs_IN'!Q$22:Q$23)*K84</f>
        <v>0</v>
      </c>
    </row>
    <row r="117" spans="1:11" x14ac:dyDescent="0.35">
      <c r="A117" s="5" t="str">
        <f t="shared" si="37"/>
        <v>STEM</v>
      </c>
      <c r="B117" s="5" t="str">
        <f t="shared" si="72"/>
        <v>SPS2</v>
      </c>
      <c r="C117" s="5" t="str">
        <f t="shared" si="38"/>
        <v>CH</v>
      </c>
      <c r="D117" t="s">
        <v>617</v>
      </c>
      <c r="E117" t="str">
        <f t="shared" si="74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</row>
    <row r="118" spans="1:11" x14ac:dyDescent="0.35">
      <c r="A118" s="5" t="str">
        <f t="shared" si="37"/>
        <v>STEM</v>
      </c>
      <c r="B118" s="5" t="str">
        <f t="shared" si="72"/>
        <v>SPS2</v>
      </c>
      <c r="C118" s="5" t="str">
        <f t="shared" si="38"/>
        <v>CH</v>
      </c>
      <c r="D118" t="s">
        <v>618</v>
      </c>
      <c r="E118" t="str">
        <f t="shared" si="74"/>
        <v>PJ/yr.</v>
      </c>
      <c r="F118" s="1">
        <f>'[1]Electricity and CHPs_IN'!L$23/SUM('[1]Electricity and CHPs_IN'!L$22:L$23)*F86</f>
        <v>1.7211563793086356E-2</v>
      </c>
      <c r="G118" s="1">
        <f>'[1]Electricity and CHPs_IN'!M$23/SUM('[1]Electricity and CHPs_IN'!M$22:M$23)*G86</f>
        <v>1.6087242359692435E-3</v>
      </c>
      <c r="H118" s="1">
        <f>'[1]Electricity and CHPs_IN'!N$23/SUM('[1]Electricity and CHPs_IN'!N$22:N$23)*H86</f>
        <v>9.8546419110268329E-4</v>
      </c>
      <c r="I118" s="1">
        <f>'[1]Electricity and CHPs_IN'!O$23/SUM('[1]Electricity and CHPs_IN'!O$22:O$23)*I86</f>
        <v>2.0012461700428356E-3</v>
      </c>
      <c r="J118" s="1">
        <f>'[1]Electricity and CHPs_IN'!P$23/SUM('[1]Electricity and CHPs_IN'!P$22:P$23)*J86</f>
        <v>0.26623960694206683</v>
      </c>
      <c r="K118" s="1">
        <f>'[1]Electricity and CHPs_IN'!Q$23/SUM('[1]Electricity and CHPs_IN'!Q$22:Q$23)*K86</f>
        <v>0.26135310031060721</v>
      </c>
    </row>
    <row r="119" spans="1:11" x14ac:dyDescent="0.35">
      <c r="A119" s="5" t="str">
        <f t="shared" si="37"/>
        <v>STEM</v>
      </c>
      <c r="B119" s="5" t="str">
        <f t="shared" si="72"/>
        <v>SPS2</v>
      </c>
      <c r="C119" s="5" t="str">
        <f t="shared" si="38"/>
        <v>CH</v>
      </c>
      <c r="D119" t="s">
        <v>619</v>
      </c>
      <c r="E119" t="str">
        <f t="shared" si="74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1.0005892683403056E-3</v>
      </c>
      <c r="K119" s="1">
        <f>'[1]Electricity and CHPs_IN'!Q$23/SUM('[1]Electricity and CHPs_IN'!Q$22:Q$23)*K87</f>
        <v>0.15115001509751502</v>
      </c>
    </row>
    <row r="120" spans="1:11" x14ac:dyDescent="0.35">
      <c r="A120" s="5" t="str">
        <f t="shared" si="37"/>
        <v>STEM</v>
      </c>
      <c r="B120" s="5" t="str">
        <f t="shared" si="72"/>
        <v>SPS2</v>
      </c>
      <c r="C120" s="5" t="str">
        <f t="shared" si="38"/>
        <v>CH</v>
      </c>
      <c r="D120" t="s">
        <v>620</v>
      </c>
      <c r="E120" t="str">
        <f t="shared" si="74"/>
        <v>PJ/yr.</v>
      </c>
      <c r="F120" s="1">
        <f>'[1]Electricity and CHPs_IN'!L$23/SUM('[1]Electricity and CHPs_IN'!L$22:L$23)*F88</f>
        <v>0</v>
      </c>
      <c r="G120" s="1">
        <f>'[1]Electricity and CHPs_IN'!M$23/SUM('[1]Electricity and CHPs_IN'!M$22:M$23)*G88</f>
        <v>0</v>
      </c>
      <c r="H120" s="1">
        <f>'[1]Electricity and CHPs_IN'!N$23/SUM('[1]Electricity and CHPs_IN'!N$22:N$23)*H88</f>
        <v>0</v>
      </c>
      <c r="I120" s="1">
        <f>'[1]Electricity and CHPs_IN'!O$23/SUM('[1]Electricity and CHPs_IN'!O$22:O$23)*I88</f>
        <v>0</v>
      </c>
      <c r="J120" s="1">
        <f>'[1]Electricity and CHPs_IN'!P$23/SUM('[1]Electricity and CHPs_IN'!P$22:P$23)*J88</f>
        <v>3.5222012929337515E-3</v>
      </c>
      <c r="K120" s="1">
        <f>'[1]Electricity and CHPs_IN'!Q$23/SUM('[1]Electricity and CHPs_IN'!Q$22:Q$23)*K88</f>
        <v>7.9524808832126027E-4</v>
      </c>
    </row>
    <row r="121" spans="1:11" x14ac:dyDescent="0.35">
      <c r="A121" s="5" t="str">
        <f t="shared" si="37"/>
        <v>STEM</v>
      </c>
      <c r="B121" s="5" t="str">
        <f t="shared" si="72"/>
        <v>SPS2</v>
      </c>
      <c r="C121" s="5" t="str">
        <f t="shared" si="38"/>
        <v>CH</v>
      </c>
      <c r="D121" t="s">
        <v>621</v>
      </c>
      <c r="E121" t="str">
        <f t="shared" si="74"/>
        <v>PJ/yr.</v>
      </c>
      <c r="F121" s="1">
        <f>'[1]Electricity and CHPs_IN'!L$23/SUM('[1]Electricity and CHPs_IN'!L$22:L$23)*F89</f>
        <v>5.0542035642760371E-4</v>
      </c>
      <c r="G121" s="1">
        <f>'[1]Electricity and CHPs_IN'!M$23/SUM('[1]Electricity and CHPs_IN'!M$22:M$23)*G89</f>
        <v>1.0201520233576623E-4</v>
      </c>
      <c r="H121" s="1">
        <f>'[1]Electricity and CHPs_IN'!N$23/SUM('[1]Electricity and CHPs_IN'!N$22:N$23)*H89</f>
        <v>2.412281335203547E-4</v>
      </c>
      <c r="I121" s="1">
        <f>'[1]Electricity and CHPs_IN'!O$23/SUM('[1]Electricity and CHPs_IN'!O$22:O$23)*I89</f>
        <v>3.5866699413799968E-4</v>
      </c>
      <c r="J121" s="1">
        <f>'[1]Electricity and CHPs_IN'!P$23/SUM('[1]Electricity and CHPs_IN'!P$22:P$23)*J89</f>
        <v>1.5139575617785269E-3</v>
      </c>
      <c r="K121" s="1">
        <f>'[1]Electricity and CHPs_IN'!Q$23/SUM('[1]Electricity and CHPs_IN'!Q$22:Q$23)*K89</f>
        <v>0</v>
      </c>
    </row>
    <row r="122" spans="1:11" x14ac:dyDescent="0.35">
      <c r="A122" s="5" t="str">
        <f t="shared" si="37"/>
        <v>STEM</v>
      </c>
      <c r="B122" s="5" t="str">
        <f t="shared" si="72"/>
        <v>SPS2</v>
      </c>
      <c r="C122" s="5" t="str">
        <f t="shared" si="38"/>
        <v>CH</v>
      </c>
      <c r="D122" t="s">
        <v>622</v>
      </c>
      <c r="E122" t="str">
        <f t="shared" si="74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'[1]Electricity and CHPs_IN'!P$23/SUM('[1]Electricity and CHPs_IN'!P$22:P$23)*J90</f>
        <v>0</v>
      </c>
      <c r="K122" s="1">
        <f>'[1]Electricity and CHPs_IN'!Q$23/SUM('[1]Electricity and CHPs_IN'!Q$22:Q$23)*K90</f>
        <v>0</v>
      </c>
    </row>
    <row r="123" spans="1:11" x14ac:dyDescent="0.35">
      <c r="A123" s="5" t="str">
        <f t="shared" si="37"/>
        <v>STEM</v>
      </c>
      <c r="B123" s="5" t="str">
        <f t="shared" si="72"/>
        <v>SPS2</v>
      </c>
      <c r="C123" s="5" t="str">
        <f t="shared" si="38"/>
        <v>CH</v>
      </c>
      <c r="D123" t="s">
        <v>623</v>
      </c>
      <c r="E123" t="str">
        <f t="shared" si="74"/>
        <v>PJ/yr.</v>
      </c>
      <c r="F123" s="1">
        <f>'[1]Electricity and CHPs_IN'!L$23/SUM('[1]Electricity and CHPs_IN'!L$22:L$23)*F91</f>
        <v>7.6586413710709716E-4</v>
      </c>
      <c r="G123" s="1">
        <f>'[1]Electricity and CHPs_IN'!M$23/SUM('[1]Electricity and CHPs_IN'!M$22:M$23)*G91</f>
        <v>1.5040116091093633E-4</v>
      </c>
      <c r="H123" s="1">
        <f>'[1]Electricity and CHPs_IN'!N$23/SUM('[1]Electricity and CHPs_IN'!N$22:N$23)*H91</f>
        <v>4.5311922324588639E-4</v>
      </c>
      <c r="I123" s="1">
        <f>'[1]Electricity and CHPs_IN'!O$23/SUM('[1]Electricity and CHPs_IN'!O$22:O$23)*I91</f>
        <v>6.1500972498767376E-4</v>
      </c>
      <c r="J123" s="1">
        <f>'[1]Electricity and CHPs_IN'!P$23/SUM('[1]Electricity and CHPs_IN'!P$22:P$23)*J91</f>
        <v>4.9522264788260523E-3</v>
      </c>
      <c r="K123" s="1">
        <f>'[1]Electricity and CHPs_IN'!Q$23/SUM('[1]Electricity and CHPs_IN'!Q$22:Q$23)*K91</f>
        <v>0</v>
      </c>
    </row>
    <row r="124" spans="1:11" x14ac:dyDescent="0.35">
      <c r="A124" s="5" t="str">
        <f t="shared" si="37"/>
        <v>STEM</v>
      </c>
      <c r="B124" s="5" t="str">
        <f t="shared" si="72"/>
        <v>SPS2</v>
      </c>
      <c r="C124" s="5" t="str">
        <f t="shared" si="38"/>
        <v>CH</v>
      </c>
      <c r="D124" t="s">
        <v>624</v>
      </c>
      <c r="E124" t="str">
        <f t="shared" si="74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'[1]Electricity and CHPs_IN'!P$23/SUM('[1]Electricity and CHPs_IN'!P$22:P$23)*J92</f>
        <v>0</v>
      </c>
      <c r="K124" s="1">
        <f>'[1]Electricity and CHPs_IN'!Q$23/SUM('[1]Electricity and CHPs_IN'!Q$22:Q$23)*K92</f>
        <v>0</v>
      </c>
    </row>
    <row r="125" spans="1:11" x14ac:dyDescent="0.35">
      <c r="A125" s="5" t="str">
        <f t="shared" si="37"/>
        <v>STEM</v>
      </c>
      <c r="B125" s="5" t="str">
        <f t="shared" si="72"/>
        <v>SPS2</v>
      </c>
      <c r="C125" s="5" t="str">
        <f t="shared" si="38"/>
        <v>CH</v>
      </c>
      <c r="D125" t="s">
        <v>625</v>
      </c>
      <c r="E125" t="str">
        <f t="shared" si="74"/>
        <v>PJ/yr.</v>
      </c>
      <c r="F125" s="1">
        <f t="shared" ref="F125:K125" si="75">F93</f>
        <v>0.95939536569076544</v>
      </c>
      <c r="G125" s="1">
        <f t="shared" si="75"/>
        <v>1.1060703167322454</v>
      </c>
      <c r="H125" s="1">
        <f t="shared" si="75"/>
        <v>1.1060629396198327</v>
      </c>
      <c r="I125" s="1">
        <f t="shared" si="75"/>
        <v>1.1060657494448614</v>
      </c>
      <c r="J125" s="1">
        <f t="shared" si="75"/>
        <v>1.106084943625381</v>
      </c>
      <c r="K125" s="1">
        <f t="shared" si="75"/>
        <v>1.1060832127743803</v>
      </c>
    </row>
    <row r="126" spans="1:11" x14ac:dyDescent="0.35">
      <c r="A126" s="5" t="str">
        <f t="shared" si="37"/>
        <v>STEM</v>
      </c>
      <c r="B126" s="5" t="str">
        <f t="shared" si="72"/>
        <v>SPS2</v>
      </c>
      <c r="C126" s="5" t="str">
        <f t="shared" si="38"/>
        <v>CH</v>
      </c>
      <c r="D126" t="s">
        <v>626</v>
      </c>
      <c r="E126" t="str">
        <f t="shared" si="74"/>
        <v>PJ/yr.</v>
      </c>
      <c r="F126" s="1">
        <f>'[1]Electricity and CHPs_IN'!L$23/SUM('[1]Electricity and CHPs_IN'!L$22:L$23)*F94</f>
        <v>1.5269844157229073E-2</v>
      </c>
      <c r="G126" s="1">
        <f>'[1]Electricity and CHPs_IN'!M$23/SUM('[1]Electricity and CHPs_IN'!M$22:M$23)*G94</f>
        <v>1.2508632814608357E-2</v>
      </c>
      <c r="H126" s="1">
        <f>'[1]Electricity and CHPs_IN'!N$23/SUM('[1]Electricity and CHPs_IN'!N$22:N$23)*H94</f>
        <v>1.9783289734613064E-4</v>
      </c>
      <c r="I126" s="1">
        <f>'[1]Electricity and CHPs_IN'!O$23/SUM('[1]Electricity and CHPs_IN'!O$22:O$23)*I94</f>
        <v>1.6319585895597683E-4</v>
      </c>
      <c r="J126" s="1">
        <f>'[1]Electricity and CHPs_IN'!P$23/SUM('[1]Electricity and CHPs_IN'!P$22:P$23)*J94</f>
        <v>7.2600262559040002E-4</v>
      </c>
      <c r="K126" s="1">
        <f>'[1]Electricity and CHPs_IN'!Q$23/SUM('[1]Electricity and CHPs_IN'!Q$22:Q$23)*K94</f>
        <v>0</v>
      </c>
    </row>
    <row r="127" spans="1:11" x14ac:dyDescent="0.35">
      <c r="A127" s="5" t="str">
        <f t="shared" si="37"/>
        <v>STEM</v>
      </c>
      <c r="B127" s="5" t="str">
        <f t="shared" si="72"/>
        <v>SPS2</v>
      </c>
      <c r="C127" s="5" t="str">
        <f t="shared" si="38"/>
        <v>CH</v>
      </c>
      <c r="D127" t="s">
        <v>627</v>
      </c>
      <c r="E127" t="str">
        <f t="shared" si="74"/>
        <v>PJ/yr.</v>
      </c>
      <c r="F127" s="1">
        <f>'[1]Electricity and CHPs_IN'!L$23/SUM('[1]Electricity and CHPs_IN'!L$22:L$23)*F95</f>
        <v>0</v>
      </c>
      <c r="G127" s="1">
        <f>'[1]Electricity and CHPs_IN'!M$23/SUM('[1]Electricity and CHPs_IN'!M$22:M$23)*G95</f>
        <v>0</v>
      </c>
      <c r="H127" s="1">
        <f>'[1]Electricity and CHPs_IN'!N$23/SUM('[1]Electricity and CHPs_IN'!N$22:N$23)*H95</f>
        <v>0</v>
      </c>
      <c r="I127" s="1">
        <f>'[1]Electricity and CHPs_IN'!O$23/SUM('[1]Electricity and CHPs_IN'!O$22:O$23)*I95</f>
        <v>0</v>
      </c>
      <c r="J127" s="1">
        <f>'[1]Electricity and CHPs_IN'!P$23/SUM('[1]Electricity and CHPs_IN'!P$22:P$23)*J95</f>
        <v>0</v>
      </c>
      <c r="K127" s="1">
        <f>'[1]Electricity and CHPs_IN'!Q$23/SUM('[1]Electricity and CHPs_IN'!Q$22:Q$23)*K95</f>
        <v>0</v>
      </c>
    </row>
    <row r="128" spans="1:11" x14ac:dyDescent="0.35">
      <c r="A128" s="5" t="str">
        <f t="shared" si="37"/>
        <v>STEM</v>
      </c>
      <c r="B128" s="5" t="str">
        <f t="shared" si="72"/>
        <v>SPS2</v>
      </c>
      <c r="C128" s="5" t="str">
        <f t="shared" si="38"/>
        <v>CH</v>
      </c>
      <c r="D128" t="s">
        <v>800</v>
      </c>
      <c r="E128" t="str">
        <f t="shared" si="74"/>
        <v>PJ/yr.</v>
      </c>
      <c r="F128" s="1">
        <f>SUM(F129:F134)</f>
        <v>8.2846190667082613</v>
      </c>
      <c r="G128" s="1">
        <f t="shared" ref="G128:K128" si="76">SUM(G129:G134)</f>
        <v>9.0155948286877514</v>
      </c>
      <c r="H128" s="1">
        <f t="shared" si="76"/>
        <v>9.4019132581532716</v>
      </c>
      <c r="I128" s="1">
        <f t="shared" si="76"/>
        <v>9.6804444595494665</v>
      </c>
      <c r="J128" s="1">
        <f t="shared" si="76"/>
        <v>10.208543992183468</v>
      </c>
      <c r="K128" s="1">
        <f t="shared" si="76"/>
        <v>12.209911708272051</v>
      </c>
    </row>
    <row r="129" spans="1:17" x14ac:dyDescent="0.35">
      <c r="A129" s="5" t="str">
        <f t="shared" si="37"/>
        <v>STEM</v>
      </c>
      <c r="B129" s="5" t="str">
        <f t="shared" si="72"/>
        <v>SPS2</v>
      </c>
      <c r="C129" s="5" t="str">
        <f t="shared" si="38"/>
        <v>CH</v>
      </c>
      <c r="D129" t="s">
        <v>53</v>
      </c>
      <c r="E129" t="str">
        <f>E73</f>
        <v>PJ/yr.</v>
      </c>
      <c r="F129" s="1">
        <f>'[1]Electricity and CHPs'!B19</f>
        <v>6.5070030035977169</v>
      </c>
      <c r="G129" s="1">
        <f>'[1]Electricity and CHPs'!C19</f>
        <v>7.3517593800200194</v>
      </c>
      <c r="H129" s="1">
        <f>'[1]Electricity and CHPs'!D19</f>
        <v>7.6162441209968783</v>
      </c>
      <c r="I129" s="1">
        <f>'[1]Electricity and CHPs'!E19</f>
        <v>7.8213139721997038</v>
      </c>
      <c r="J129" s="1">
        <f>'[1]Electricity and CHPs'!F19</f>
        <v>6.7072501917546479</v>
      </c>
      <c r="K129" s="1">
        <f>'[1]Electricity and CHPs'!G19</f>
        <v>5.1263848792490796</v>
      </c>
    </row>
    <row r="130" spans="1:17" x14ac:dyDescent="0.35">
      <c r="A130" s="5" t="str">
        <f t="shared" si="37"/>
        <v>STEM</v>
      </c>
      <c r="B130" s="5" t="str">
        <f t="shared" si="72"/>
        <v>SPS2</v>
      </c>
      <c r="C130" s="5" t="str">
        <f t="shared" si="38"/>
        <v>CH</v>
      </c>
      <c r="D130" t="s">
        <v>52</v>
      </c>
      <c r="E130" t="str">
        <f>E129</f>
        <v>PJ/yr.</v>
      </c>
      <c r="F130" s="1">
        <f>'[1]Electricity and CHPs'!B20</f>
        <v>0</v>
      </c>
      <c r="G130" s="1">
        <f>'[1]Electricity and CHPs'!C20</f>
        <v>0</v>
      </c>
      <c r="H130" s="1">
        <f>'[1]Electricity and CHPs'!D20</f>
        <v>0</v>
      </c>
      <c r="I130" s="1">
        <f>'[1]Electricity and CHPs'!E20</f>
        <v>0</v>
      </c>
      <c r="J130" s="1">
        <f>'[1]Electricity and CHPs'!F20</f>
        <v>1.596319608983104</v>
      </c>
      <c r="K130" s="1">
        <f>'[1]Electricity and CHPs'!G20</f>
        <v>4.8957947499313033</v>
      </c>
    </row>
    <row r="131" spans="1:17" x14ac:dyDescent="0.35">
      <c r="A131" s="5" t="str">
        <f t="shared" si="37"/>
        <v>STEM</v>
      </c>
      <c r="B131" s="5" t="str">
        <f t="shared" si="72"/>
        <v>SPS2</v>
      </c>
      <c r="C131" s="5" t="str">
        <f t="shared" si="38"/>
        <v>CH</v>
      </c>
      <c r="D131" t="s">
        <v>51</v>
      </c>
      <c r="E131" t="str">
        <f>E150</f>
        <v>PJ/yr.</v>
      </c>
      <c r="F131" s="1">
        <f>'[1]Electricity and CHPs'!B26</f>
        <v>1.5475519469556596</v>
      </c>
      <c r="G131" s="1">
        <f>'[1]Electricity and CHPs'!C26</f>
        <v>1.4228396673035264</v>
      </c>
      <c r="H131" s="1">
        <f>'[1]Electricity and CHPs'!D26</f>
        <v>1.4489583186486708</v>
      </c>
      <c r="I131" s="1">
        <f>'[1]Electricity and CHPs'!E26</f>
        <v>1.5023989527715023</v>
      </c>
      <c r="J131" s="1">
        <f>'[1]Electricity and CHPs'!F26</f>
        <v>1.2901112382747042</v>
      </c>
      <c r="K131" s="1">
        <f>'[1]Electricity and CHPs'!G26</f>
        <v>0.75039819797189578</v>
      </c>
    </row>
    <row r="132" spans="1:17" x14ac:dyDescent="0.35">
      <c r="A132" s="5" t="str">
        <f t="shared" si="37"/>
        <v>STEM</v>
      </c>
      <c r="B132" s="5" t="str">
        <f t="shared" si="72"/>
        <v>SPS2</v>
      </c>
      <c r="C132" s="5" t="str">
        <f t="shared" si="38"/>
        <v>CH</v>
      </c>
      <c r="D132" t="s">
        <v>50</v>
      </c>
      <c r="E132" t="str">
        <f>E131</f>
        <v>PJ/yr.</v>
      </c>
      <c r="F132" s="1">
        <f>'[1]Electricity and CHPs'!B27</f>
        <v>0</v>
      </c>
      <c r="G132" s="1">
        <f>'[1]Electricity and CHPs'!C27</f>
        <v>0</v>
      </c>
      <c r="H132" s="1">
        <f>'[1]Electricity and CHPs'!D27</f>
        <v>0</v>
      </c>
      <c r="I132" s="1">
        <f>'[1]Electricity and CHPs'!E27</f>
        <v>0</v>
      </c>
      <c r="J132" s="1">
        <f>'[1]Electricity and CHPs'!F27</f>
        <v>0.26702446241973993</v>
      </c>
      <c r="K132" s="1">
        <f>'[1]Electricity and CHPs'!G27</f>
        <v>0.78409145432848737</v>
      </c>
    </row>
    <row r="133" spans="1:17" x14ac:dyDescent="0.35">
      <c r="A133" s="5" t="str">
        <f t="shared" si="37"/>
        <v>STEM</v>
      </c>
      <c r="B133" s="5" t="str">
        <f t="shared" si="72"/>
        <v>SPS2</v>
      </c>
      <c r="C133" s="5" t="str">
        <f t="shared" si="38"/>
        <v>CH</v>
      </c>
      <c r="D133" t="s">
        <v>48</v>
      </c>
      <c r="E133" t="str">
        <f>E153</f>
        <v>PJ/yr.</v>
      </c>
      <c r="F133" s="1">
        <f>'[1]Electricity and CHPs'!B44</f>
        <v>0.23006411615488517</v>
      </c>
      <c r="G133" s="1">
        <f>'[1]Electricity and CHPs'!C44</f>
        <v>0.24099578136420541</v>
      </c>
      <c r="H133" s="1">
        <f>'[1]Electricity and CHPs'!D44</f>
        <v>0.33671081850772255</v>
      </c>
      <c r="I133" s="1">
        <f>'[1]Electricity and CHPs'!E44</f>
        <v>0.35673153457826035</v>
      </c>
      <c r="J133" s="1">
        <f>'[1]Electricity and CHPs'!F44</f>
        <v>0.30252566007333681</v>
      </c>
      <c r="K133" s="1">
        <f>'[1]Electricity and CHPs'!G44</f>
        <v>1.0462859809304794E-4</v>
      </c>
    </row>
    <row r="134" spans="1:17" x14ac:dyDescent="0.35">
      <c r="A134" s="5" t="str">
        <f t="shared" si="37"/>
        <v>STEM</v>
      </c>
      <c r="B134" s="5" t="str">
        <f t="shared" si="72"/>
        <v>SPS2</v>
      </c>
      <c r="C134" s="5" t="str">
        <f t="shared" si="38"/>
        <v>CH</v>
      </c>
      <c r="D134" t="s">
        <v>49</v>
      </c>
      <c r="E134" t="str">
        <f>E133</f>
        <v>PJ/yr.</v>
      </c>
      <c r="F134" s="1">
        <f>'[1]Electricity and CHPs'!B45</f>
        <v>0</v>
      </c>
      <c r="G134" s="1">
        <f>'[1]Electricity and CHPs'!C45</f>
        <v>0</v>
      </c>
      <c r="H134" s="1">
        <f>'[1]Electricity and CHPs'!D45</f>
        <v>0</v>
      </c>
      <c r="I134" s="1">
        <f>'[1]Electricity and CHPs'!E45</f>
        <v>0</v>
      </c>
      <c r="J134" s="1">
        <f>'[1]Electricity and CHPs'!F45</f>
        <v>4.5312830677935928E-2</v>
      </c>
      <c r="K134" s="1">
        <f>'[1]Electricity and CHPs'!G45</f>
        <v>0.65313779819319318</v>
      </c>
    </row>
    <row r="135" spans="1:17" x14ac:dyDescent="0.35">
      <c r="A135" s="5" t="str">
        <f t="shared" si="37"/>
        <v>STEM</v>
      </c>
      <c r="B135" s="5" t="str">
        <f t="shared" si="72"/>
        <v>SPS2</v>
      </c>
      <c r="C135" s="5" t="str">
        <f t="shared" si="38"/>
        <v>CH</v>
      </c>
      <c r="D135" t="s">
        <v>89</v>
      </c>
      <c r="E135" t="str">
        <f t="shared" ref="E135:E149" si="77">E134</f>
        <v>PJ/yr.</v>
      </c>
      <c r="F135" s="1">
        <f>SUM(F136:F139)</f>
        <v>4.027277475276688</v>
      </c>
      <c r="G135" s="1">
        <f t="shared" ref="G135:K135" si="78">SUM(G136:G139)</f>
        <v>4.3872995236617731</v>
      </c>
      <c r="H135" s="1">
        <f t="shared" si="78"/>
        <v>4.5326012198227748</v>
      </c>
      <c r="I135" s="1">
        <f t="shared" si="78"/>
        <v>4.6618564624856029</v>
      </c>
      <c r="J135" s="1">
        <f t="shared" si="78"/>
        <v>4.9303527507160974</v>
      </c>
      <c r="K135" s="1">
        <f t="shared" si="78"/>
        <v>5.7783346407403826</v>
      </c>
      <c r="M135" s="1"/>
      <c r="N135" s="1"/>
      <c r="O135" s="1"/>
      <c r="P135" s="1"/>
      <c r="Q135" s="1"/>
    </row>
    <row r="136" spans="1:17" x14ac:dyDescent="0.35">
      <c r="A136" s="5" t="str">
        <f t="shared" si="37"/>
        <v>STEM</v>
      </c>
      <c r="B136" s="5" t="str">
        <f t="shared" si="72"/>
        <v>SPS2</v>
      </c>
      <c r="C136" s="5" t="str">
        <f t="shared" si="38"/>
        <v>CH</v>
      </c>
      <c r="D136" t="s">
        <v>60</v>
      </c>
      <c r="E136" t="str">
        <f>E135</f>
        <v>PJ/yr.</v>
      </c>
      <c r="F136" s="1" cm="1">
        <f t="array" ref="F136">F129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3.2535015017988584</v>
      </c>
      <c r="G136" s="1" cm="1">
        <f t="array" ref="G136">G129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3.6758796900100097</v>
      </c>
      <c r="H136" s="1" cm="1">
        <f t="array" ref="H136">H129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3.8081220604984392</v>
      </c>
      <c r="I136" s="1" cm="1">
        <f t="array" ref="I136">I129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3.9106569860998519</v>
      </c>
      <c r="J136" s="1" cm="1">
        <f t="array" ref="J136">J129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3.3536250958773239</v>
      </c>
      <c r="K136" s="1" cm="1">
        <f t="array" ref="K136">K129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2.5631924396245394</v>
      </c>
    </row>
    <row r="137" spans="1:17" x14ac:dyDescent="0.35">
      <c r="A137" s="5" t="str">
        <f t="shared" si="37"/>
        <v>STEM</v>
      </c>
      <c r="B137" s="5" t="str">
        <f t="shared" si="72"/>
        <v>SPS2</v>
      </c>
      <c r="C137" s="5" t="str">
        <f t="shared" si="38"/>
        <v>CH</v>
      </c>
      <c r="D137" t="s">
        <v>61</v>
      </c>
      <c r="E137" t="str">
        <f t="shared" si="77"/>
        <v>PJ/yr.</v>
      </c>
      <c r="F137" s="1" cm="1">
        <f t="array" ref="F137">F130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7" s="1" cm="1">
        <f t="array" ref="G137">G130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7" s="1" cm="1">
        <f t="array" ref="H137">H130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7" s="1" cm="1">
        <f t="array" ref="I137">I130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7" s="1" cm="1">
        <f t="array" ref="J137">J130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0.79815980449155188</v>
      </c>
      <c r="K137" s="1" cm="1">
        <f t="array" ref="K137">K130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2.4478973749656516</v>
      </c>
    </row>
    <row r="138" spans="1:17" x14ac:dyDescent="0.35">
      <c r="A138" s="5" t="str">
        <f t="shared" si="37"/>
        <v>STEM</v>
      </c>
      <c r="B138" s="5" t="str">
        <f t="shared" si="72"/>
        <v>SPS2</v>
      </c>
      <c r="C138" s="5" t="str">
        <f t="shared" si="38"/>
        <v>CH</v>
      </c>
      <c r="D138" t="s">
        <v>62</v>
      </c>
      <c r="E138" t="str">
        <f t="shared" si="77"/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0.77377597347782978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0.71141983365176309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0.72447915932433538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0.75119947638575113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0.6450556191373521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0.37519909898594789</v>
      </c>
    </row>
    <row r="139" spans="1:17" x14ac:dyDescent="0.35">
      <c r="A139" s="5" t="str">
        <f t="shared" si="37"/>
        <v>STEM</v>
      </c>
      <c r="B139" s="5" t="str">
        <f t="shared" si="72"/>
        <v>SPS2</v>
      </c>
      <c r="C139" s="5" t="str">
        <f t="shared" si="38"/>
        <v>CH</v>
      </c>
      <c r="D139" t="s">
        <v>63</v>
      </c>
      <c r="E139" t="str">
        <f t="shared" si="7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0.13351223120986996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0.39204572716424368</v>
      </c>
    </row>
    <row r="140" spans="1:17" x14ac:dyDescent="0.35">
      <c r="A140" s="5" t="str">
        <f t="shared" si="37"/>
        <v>STEM</v>
      </c>
      <c r="B140" s="5" t="str">
        <f t="shared" si="72"/>
        <v>SPS2</v>
      </c>
      <c r="C140" s="5" t="str">
        <f t="shared" si="38"/>
        <v>CH</v>
      </c>
      <c r="D140" t="s">
        <v>64</v>
      </c>
      <c r="E140" t="str">
        <f t="shared" si="77"/>
        <v>PJ/yr.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7" x14ac:dyDescent="0.35">
      <c r="A141" s="5" t="str">
        <f t="shared" si="37"/>
        <v>STEM</v>
      </c>
      <c r="B141" s="5" t="str">
        <f t="shared" si="72"/>
        <v>SPS2</v>
      </c>
      <c r="C141" s="5" t="str">
        <f t="shared" si="38"/>
        <v>CH</v>
      </c>
      <c r="D141" t="s">
        <v>65</v>
      </c>
      <c r="E141" t="str">
        <f t="shared" si="77"/>
        <v>PJ/yr.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7" x14ac:dyDescent="0.35">
      <c r="A142" s="5" t="str">
        <f t="shared" si="37"/>
        <v>STEM</v>
      </c>
      <c r="B142" s="5" t="str">
        <f t="shared" si="72"/>
        <v>SPS2</v>
      </c>
      <c r="C142" s="5" t="str">
        <f t="shared" si="38"/>
        <v>CH</v>
      </c>
      <c r="D142" t="s">
        <v>801</v>
      </c>
      <c r="E142" t="str">
        <f>E141</f>
        <v>PJ/yr.</v>
      </c>
      <c r="F142" s="1">
        <f>SUM(F143:F148)</f>
        <v>4.2573415914315733</v>
      </c>
      <c r="G142" s="1">
        <f t="shared" ref="G142:K142" si="79">SUM(G143:G148)</f>
        <v>4.6282953050259783</v>
      </c>
      <c r="H142" s="1">
        <f t="shared" si="79"/>
        <v>4.8693120383304969</v>
      </c>
      <c r="I142" s="1">
        <f t="shared" si="79"/>
        <v>5.0185879970638636</v>
      </c>
      <c r="J142" s="1">
        <f t="shared" si="79"/>
        <v>5.2781912414673702</v>
      </c>
      <c r="K142" s="1">
        <f t="shared" si="79"/>
        <v>6.4315770675316699</v>
      </c>
    </row>
    <row r="143" spans="1:17" x14ac:dyDescent="0.35">
      <c r="A143" s="5" t="str">
        <f t="shared" si="37"/>
        <v>STEM</v>
      </c>
      <c r="B143" s="5" t="str">
        <f t="shared" si="72"/>
        <v>SPS2</v>
      </c>
      <c r="C143" s="5" t="str">
        <f t="shared" si="38"/>
        <v>CH</v>
      </c>
      <c r="D143" t="s">
        <v>56</v>
      </c>
      <c r="E143" t="str">
        <f>E142</f>
        <v>PJ/yr.</v>
      </c>
      <c r="F143" s="1">
        <f>F129-F136</f>
        <v>3.2535015017988584</v>
      </c>
      <c r="G143" s="1">
        <f t="shared" ref="G143:K143" si="80">G129-G136</f>
        <v>3.6758796900100097</v>
      </c>
      <c r="H143" s="1">
        <f t="shared" si="80"/>
        <v>3.8081220604984392</v>
      </c>
      <c r="I143" s="1">
        <f t="shared" si="80"/>
        <v>3.9106569860998519</v>
      </c>
      <c r="J143" s="1">
        <f t="shared" si="80"/>
        <v>3.3536250958773239</v>
      </c>
      <c r="K143" s="1">
        <f t="shared" si="80"/>
        <v>2.5631924396245402</v>
      </c>
    </row>
    <row r="144" spans="1:17" x14ac:dyDescent="0.35">
      <c r="A144" s="5" t="str">
        <f t="shared" si="37"/>
        <v>STEM</v>
      </c>
      <c r="B144" s="5" t="str">
        <f t="shared" si="72"/>
        <v>SPS2</v>
      </c>
      <c r="C144" s="5" t="str">
        <f t="shared" si="38"/>
        <v>CH</v>
      </c>
      <c r="D144" t="s">
        <v>57</v>
      </c>
      <c r="E144" t="str">
        <f t="shared" si="77"/>
        <v>PJ/yr.</v>
      </c>
      <c r="F144" s="1">
        <f t="shared" ref="F144:K144" si="81">F130-F137</f>
        <v>0</v>
      </c>
      <c r="G144" s="1">
        <f t="shared" si="81"/>
        <v>0</v>
      </c>
      <c r="H144" s="1">
        <f t="shared" si="81"/>
        <v>0</v>
      </c>
      <c r="I144" s="1">
        <f t="shared" si="81"/>
        <v>0</v>
      </c>
      <c r="J144" s="1">
        <f t="shared" si="81"/>
        <v>0.79815980449155211</v>
      </c>
      <c r="K144" s="1">
        <f t="shared" si="81"/>
        <v>2.4478973749656516</v>
      </c>
    </row>
    <row r="145" spans="1:11" x14ac:dyDescent="0.35">
      <c r="A145" s="5" t="str">
        <f t="shared" si="37"/>
        <v>STEM</v>
      </c>
      <c r="B145" s="5" t="str">
        <f t="shared" si="72"/>
        <v>SPS2</v>
      </c>
      <c r="C145" s="5" t="str">
        <f t="shared" si="38"/>
        <v>CH</v>
      </c>
      <c r="D145" t="s">
        <v>58</v>
      </c>
      <c r="E145" t="str">
        <f t="shared" si="77"/>
        <v>PJ/yr.</v>
      </c>
      <c r="F145" s="1">
        <f t="shared" ref="F145:K145" si="82">F131-F138</f>
        <v>0.77377597347782978</v>
      </c>
      <c r="G145" s="1">
        <f t="shared" si="82"/>
        <v>0.71141983365176331</v>
      </c>
      <c r="H145" s="1">
        <f t="shared" si="82"/>
        <v>0.72447915932433538</v>
      </c>
      <c r="I145" s="1">
        <f t="shared" si="82"/>
        <v>0.75119947638575113</v>
      </c>
      <c r="J145" s="1">
        <f t="shared" si="82"/>
        <v>0.6450556191373521</v>
      </c>
      <c r="K145" s="1">
        <f t="shared" si="82"/>
        <v>0.37519909898594789</v>
      </c>
    </row>
    <row r="146" spans="1:11" x14ac:dyDescent="0.35">
      <c r="A146" s="5" t="str">
        <f t="shared" si="37"/>
        <v>STEM</v>
      </c>
      <c r="B146" s="5" t="str">
        <f t="shared" si="72"/>
        <v>SPS2</v>
      </c>
      <c r="C146" s="5" t="str">
        <f t="shared" si="38"/>
        <v>CH</v>
      </c>
      <c r="D146" t="s">
        <v>59</v>
      </c>
      <c r="E146" t="str">
        <f t="shared" si="77"/>
        <v>PJ/yr.</v>
      </c>
      <c r="F146" s="1">
        <f t="shared" ref="F146:K146" si="83">F132-F139</f>
        <v>0</v>
      </c>
      <c r="G146" s="1">
        <f t="shared" si="83"/>
        <v>0</v>
      </c>
      <c r="H146" s="1">
        <f t="shared" si="83"/>
        <v>0</v>
      </c>
      <c r="I146" s="1">
        <f t="shared" si="83"/>
        <v>0</v>
      </c>
      <c r="J146" s="1">
        <f t="shared" si="83"/>
        <v>0.13351223120986996</v>
      </c>
      <c r="K146" s="1">
        <f t="shared" si="83"/>
        <v>0.39204572716424368</v>
      </c>
    </row>
    <row r="147" spans="1:11" x14ac:dyDescent="0.35">
      <c r="A147" s="5" t="str">
        <f t="shared" si="37"/>
        <v>STEM</v>
      </c>
      <c r="B147" s="5" t="str">
        <f t="shared" si="72"/>
        <v>SPS2</v>
      </c>
      <c r="C147" s="5" t="str">
        <f t="shared" si="38"/>
        <v>CH</v>
      </c>
      <c r="D147" t="s">
        <v>54</v>
      </c>
      <c r="E147" t="str">
        <f t="shared" si="77"/>
        <v>PJ/yr.</v>
      </c>
      <c r="F147" s="1">
        <f t="shared" ref="F147:K147" si="84">F133-F140</f>
        <v>0.23006411615488517</v>
      </c>
      <c r="G147" s="1">
        <f t="shared" si="84"/>
        <v>0.24099578136420541</v>
      </c>
      <c r="H147" s="1">
        <f t="shared" si="84"/>
        <v>0.33671081850772255</v>
      </c>
      <c r="I147" s="1">
        <f t="shared" si="84"/>
        <v>0.35673153457826035</v>
      </c>
      <c r="J147" s="1">
        <f t="shared" si="84"/>
        <v>0.30252566007333681</v>
      </c>
      <c r="K147" s="1">
        <f t="shared" si="84"/>
        <v>1.0462859809304794E-4</v>
      </c>
    </row>
    <row r="148" spans="1:11" x14ac:dyDescent="0.35">
      <c r="A148" s="5" t="str">
        <f t="shared" ref="A148:B179" si="85">A147</f>
        <v>STEM</v>
      </c>
      <c r="B148" s="5" t="str">
        <f t="shared" si="72"/>
        <v>SPS2</v>
      </c>
      <c r="C148" s="5" t="str">
        <f t="shared" ref="C148:C179" si="86">C147</f>
        <v>CH</v>
      </c>
      <c r="D148" t="s">
        <v>55</v>
      </c>
      <c r="E148" t="str">
        <f t="shared" si="77"/>
        <v>PJ/yr.</v>
      </c>
      <c r="F148" s="1">
        <f t="shared" ref="F148:K148" si="87">F134-F141</f>
        <v>0</v>
      </c>
      <c r="G148" s="1">
        <f t="shared" si="87"/>
        <v>0</v>
      </c>
      <c r="H148" s="1">
        <f t="shared" si="87"/>
        <v>0</v>
      </c>
      <c r="I148" s="1">
        <f t="shared" si="87"/>
        <v>0</v>
      </c>
      <c r="J148" s="1">
        <f t="shared" si="87"/>
        <v>4.5312830677935928E-2</v>
      </c>
      <c r="K148" s="1">
        <f t="shared" si="87"/>
        <v>0.65313779819319318</v>
      </c>
    </row>
    <row r="149" spans="1:11" x14ac:dyDescent="0.35">
      <c r="A149" s="5" t="str">
        <f t="shared" si="85"/>
        <v>STEM</v>
      </c>
      <c r="B149" s="5" t="str">
        <f t="shared" si="72"/>
        <v>SPS2</v>
      </c>
      <c r="C149" s="5" t="str">
        <f t="shared" si="86"/>
        <v>CH</v>
      </c>
      <c r="D149" t="s">
        <v>802</v>
      </c>
      <c r="E149" t="str">
        <f t="shared" si="77"/>
        <v>PJ/yr.</v>
      </c>
      <c r="F149" s="1">
        <f>SUM(F150:F156)</f>
        <v>0.392787689332604</v>
      </c>
      <c r="G149" s="1">
        <f t="shared" ref="G149:K149" si="88">SUM(G150:G156)</f>
        <v>0.52864464852409931</v>
      </c>
      <c r="H149" s="1">
        <f t="shared" si="88"/>
        <v>1.125284620632341</v>
      </c>
      <c r="I149" s="1">
        <f t="shared" si="88"/>
        <v>1.7576722095552122</v>
      </c>
      <c r="J149" s="1">
        <f t="shared" si="88"/>
        <v>3.686455663370479</v>
      </c>
      <c r="K149" s="1">
        <f t="shared" si="88"/>
        <v>5.9483457646749924</v>
      </c>
    </row>
    <row r="150" spans="1:11" x14ac:dyDescent="0.35">
      <c r="A150" s="5" t="str">
        <f t="shared" si="85"/>
        <v>STEM</v>
      </c>
      <c r="B150" s="5" t="str">
        <f t="shared" si="72"/>
        <v>SPS2</v>
      </c>
      <c r="C150" s="5" t="str">
        <f t="shared" si="86"/>
        <v>CH</v>
      </c>
      <c r="D150" t="s">
        <v>66</v>
      </c>
      <c r="E150" t="str">
        <f>E84</f>
        <v>PJ/yr.</v>
      </c>
      <c r="F150" s="1">
        <f>'[1]Electricity and CHPs'!B25</f>
        <v>0.22029224603021824</v>
      </c>
      <c r="G150" s="1">
        <f>'[1]Electricity and CHPs'!C25</f>
        <v>1.6512109934897715E-2</v>
      </c>
      <c r="H150" s="1">
        <f>'[1]Electricity and CHPs'!D25</f>
        <v>2.9536713887845E-3</v>
      </c>
      <c r="I150" s="1">
        <f>'[1]Electricity and CHPs'!E25</f>
        <v>4.5646316843590811E-3</v>
      </c>
      <c r="J150" s="1">
        <f>'[1]Electricity and CHPs'!F25</f>
        <v>0.80563196476031174</v>
      </c>
      <c r="K150" s="1">
        <f>'[1]Electricity and CHPs'!G25</f>
        <v>0.95703108434745554</v>
      </c>
    </row>
    <row r="151" spans="1:11" x14ac:dyDescent="0.35">
      <c r="A151" s="5" t="str">
        <f t="shared" si="85"/>
        <v>STEM</v>
      </c>
      <c r="B151" s="5" t="str">
        <f t="shared" si="72"/>
        <v>SPS2</v>
      </c>
      <c r="C151" s="5" t="str">
        <f t="shared" si="86"/>
        <v>CH</v>
      </c>
      <c r="D151" t="s">
        <v>67</v>
      </c>
      <c r="E151" t="str">
        <f>E168</f>
        <v>PJ/yr.</v>
      </c>
      <c r="F151" s="1">
        <f>'[1]Electricity and CHPs'!B31</f>
        <v>0</v>
      </c>
      <c r="G151" s="1">
        <f>'[1]Electricity and CHPs'!C31</f>
        <v>0</v>
      </c>
      <c r="H151" s="1">
        <f>'[1]Electricity and CHPs'!D31</f>
        <v>0</v>
      </c>
      <c r="I151" s="1">
        <f>'[1]Electricity and CHPs'!E31</f>
        <v>0</v>
      </c>
      <c r="J151" s="1">
        <f>'[1]Electricity and CHPs'!F31</f>
        <v>1.0080409620202872E-3</v>
      </c>
      <c r="K151" s="1">
        <f>'[1]Electricity and CHPs'!G31</f>
        <v>0.49759336504051654</v>
      </c>
    </row>
    <row r="152" spans="1:11" x14ac:dyDescent="0.35">
      <c r="A152" s="5" t="str">
        <f t="shared" si="85"/>
        <v>STEM</v>
      </c>
      <c r="B152" s="5" t="str">
        <f t="shared" si="72"/>
        <v>SPS2</v>
      </c>
      <c r="C152" s="5" t="str">
        <f t="shared" si="86"/>
        <v>CH</v>
      </c>
      <c r="D152" t="s">
        <v>68</v>
      </c>
      <c r="E152" t="str">
        <f>E75</f>
        <v>PJ/yr.</v>
      </c>
      <c r="F152" s="1">
        <f>'[1]Electricity and CHPs'!B42</f>
        <v>0.17249544330238578</v>
      </c>
      <c r="G152" s="1">
        <f>'[1]Electricity and CHPs'!C42</f>
        <v>0.5121325385892016</v>
      </c>
      <c r="H152" s="1">
        <f>'[1]Electricity and CHPs'!D42</f>
        <v>1.1223309492435565</v>
      </c>
      <c r="I152" s="1">
        <f>'[1]Electricity and CHPs'!E42</f>
        <v>1.7440554554147625</v>
      </c>
      <c r="J152" s="1">
        <f>'[1]Electricity and CHPs'!F42</f>
        <v>0.86148997948136785</v>
      </c>
      <c r="K152" s="1">
        <f>'[1]Electricity and CHPs'!G42</f>
        <v>0.34698821623735876</v>
      </c>
    </row>
    <row r="153" spans="1:11" x14ac:dyDescent="0.35">
      <c r="A153" s="5" t="str">
        <f t="shared" si="85"/>
        <v>STEM</v>
      </c>
      <c r="B153" s="5" t="str">
        <f t="shared" si="72"/>
        <v>SPS2</v>
      </c>
      <c r="C153" s="5" t="str">
        <f t="shared" si="86"/>
        <v>CH</v>
      </c>
      <c r="D153" t="s">
        <v>69</v>
      </c>
      <c r="E153" t="str">
        <f>E152</f>
        <v>PJ/yr.</v>
      </c>
      <c r="F153" s="1">
        <f>'[1]Electricity and CHPs'!B43</f>
        <v>0</v>
      </c>
      <c r="G153" s="1">
        <f>'[1]Electricity and CHPs'!C43</f>
        <v>0</v>
      </c>
      <c r="H153" s="1">
        <f>'[1]Electricity and CHPs'!D43</f>
        <v>0</v>
      </c>
      <c r="I153" s="1">
        <f>'[1]Electricity and CHPs'!E43</f>
        <v>0</v>
      </c>
      <c r="J153" s="1">
        <f>'[1]Electricity and CHPs'!F43</f>
        <v>1.8899893745438678</v>
      </c>
      <c r="K153" s="1">
        <f>'[1]Electricity and CHPs'!G43</f>
        <v>4.1294798769342966</v>
      </c>
    </row>
    <row r="154" spans="1:11" x14ac:dyDescent="0.35">
      <c r="A154" s="5" t="str">
        <f t="shared" si="85"/>
        <v>STEM</v>
      </c>
      <c r="B154" s="5" t="str">
        <f t="shared" si="72"/>
        <v>SPS2</v>
      </c>
      <c r="C154" s="5" t="str">
        <f t="shared" si="86"/>
        <v>CH</v>
      </c>
      <c r="D154" t="s">
        <v>70</v>
      </c>
      <c r="E154" t="str">
        <f>E90</f>
        <v>PJ/yr.</v>
      </c>
      <c r="F154" s="1">
        <f>'[1]Electricity and CHPs'!B50</f>
        <v>0</v>
      </c>
      <c r="G154" s="1">
        <f>'[1]Electricity and CHPs'!C50</f>
        <v>0</v>
      </c>
      <c r="H154" s="1">
        <f>'[1]Electricity and CHPs'!D50</f>
        <v>0</v>
      </c>
      <c r="I154" s="1">
        <f>'[1]Electricity and CHPs'!E50</f>
        <v>2.6482288547189274E-3</v>
      </c>
      <c r="J154" s="1">
        <f>'[1]Electricity and CHPs'!F50</f>
        <v>7.3740210609432276E-3</v>
      </c>
      <c r="K154" s="1">
        <f>'[1]Electricity and CHPs'!G50</f>
        <v>3.2162910809483652E-3</v>
      </c>
    </row>
    <row r="155" spans="1:11" x14ac:dyDescent="0.35">
      <c r="A155" s="5" t="str">
        <f t="shared" si="85"/>
        <v>STEM</v>
      </c>
      <c r="B155" s="5" t="str">
        <f t="shared" si="72"/>
        <v>SPS2</v>
      </c>
      <c r="C155" s="5" t="str">
        <f t="shared" si="86"/>
        <v>CH</v>
      </c>
      <c r="D155" t="s">
        <v>71</v>
      </c>
      <c r="E155" t="str">
        <f>E92</f>
        <v>PJ/yr.</v>
      </c>
      <c r="F155" s="1">
        <f>'[1]Electricity and CHPs'!B53</f>
        <v>0</v>
      </c>
      <c r="G155" s="1">
        <f>'[1]Electricity and CHPs'!C53</f>
        <v>0</v>
      </c>
      <c r="H155" s="1">
        <f>'[1]Electricity and CHPs'!D53</f>
        <v>0</v>
      </c>
      <c r="I155" s="1">
        <f>'[1]Electricity and CHPs'!E53</f>
        <v>5.3074905692886212E-3</v>
      </c>
      <c r="J155" s="1">
        <f>'[1]Electricity and CHPs'!F53</f>
        <v>0.11896605213983055</v>
      </c>
      <c r="K155" s="1">
        <f>'[1]Electricity and CHPs'!G53</f>
        <v>1.2430167755366373E-2</v>
      </c>
    </row>
    <row r="156" spans="1:11" x14ac:dyDescent="0.35">
      <c r="A156" s="5" t="str">
        <f t="shared" si="85"/>
        <v>STEM</v>
      </c>
      <c r="B156" s="5" t="str">
        <f t="shared" si="72"/>
        <v>SPS2</v>
      </c>
      <c r="C156" s="5" t="str">
        <f t="shared" si="86"/>
        <v>CH</v>
      </c>
      <c r="D156" t="s">
        <v>295</v>
      </c>
      <c r="E156" t="str">
        <f>E94</f>
        <v>PJ/yr.</v>
      </c>
      <c r="F156" s="1">
        <f>'[1]Electricity and CHPs'!B56</f>
        <v>0</v>
      </c>
      <c r="G156" s="1">
        <f>'[1]Electricity and CHPs'!C56</f>
        <v>0</v>
      </c>
      <c r="H156" s="1">
        <f>'[1]Electricity and CHPs'!D56</f>
        <v>0</v>
      </c>
      <c r="I156" s="1">
        <f>'[1]Electricity and CHPs'!E56</f>
        <v>1.0964030320830176E-3</v>
      </c>
      <c r="J156" s="1">
        <f>'[1]Electricity and CHPs'!F56</f>
        <v>1.9962304221375592E-3</v>
      </c>
      <c r="K156" s="1">
        <f>'[1]Electricity and CHPs'!G56</f>
        <v>1.6067632790507575E-3</v>
      </c>
    </row>
    <row r="157" spans="1:11" x14ac:dyDescent="0.35">
      <c r="A157" s="5" t="str">
        <f t="shared" si="85"/>
        <v>STEM</v>
      </c>
      <c r="B157" s="5" t="str">
        <f t="shared" si="72"/>
        <v>SPS2</v>
      </c>
      <c r="C157" s="5" t="str">
        <f t="shared" si="86"/>
        <v>CH</v>
      </c>
      <c r="D157" t="s">
        <v>803</v>
      </c>
      <c r="E157" t="str">
        <f>E95</f>
        <v>PJ/yr.</v>
      </c>
      <c r="F157" s="1">
        <f>F158</f>
        <v>0.52400000000000047</v>
      </c>
      <c r="G157" s="1">
        <f t="shared" ref="G157:K157" si="89">G158</f>
        <v>0.54529688685681488</v>
      </c>
      <c r="H157" s="1">
        <f t="shared" si="89"/>
        <v>0.50316948519036375</v>
      </c>
      <c r="I157" s="1">
        <f t="shared" si="89"/>
        <v>2.0502677777781577</v>
      </c>
      <c r="J157" s="1">
        <f t="shared" si="89"/>
        <v>7.1993615699640126</v>
      </c>
      <c r="K157" s="1">
        <f t="shared" si="89"/>
        <v>26.771431294598283</v>
      </c>
    </row>
    <row r="158" spans="1:11" x14ac:dyDescent="0.35">
      <c r="A158" s="5" t="str">
        <f t="shared" si="85"/>
        <v>STEM</v>
      </c>
      <c r="B158" s="5" t="str">
        <f t="shared" si="72"/>
        <v>SPS2</v>
      </c>
      <c r="C158" s="5" t="str">
        <f t="shared" si="86"/>
        <v>CH</v>
      </c>
      <c r="D158" t="s">
        <v>72</v>
      </c>
      <c r="E158" t="str">
        <f>E165</f>
        <v>PJ/yr.</v>
      </c>
      <c r="F158" s="1">
        <f>'[1]Electricity and CHPs'!B33</f>
        <v>0.52400000000000047</v>
      </c>
      <c r="G158" s="1">
        <f>'[1]Electricity and CHPs'!C33</f>
        <v>0.54529688685681488</v>
      </c>
      <c r="H158" s="1">
        <f>'[1]Electricity and CHPs'!D33</f>
        <v>0.50316948519036375</v>
      </c>
      <c r="I158" s="1">
        <f>'[1]Electricity and CHPs'!E33</f>
        <v>2.0502677777781577</v>
      </c>
      <c r="J158" s="1">
        <f>'[1]Electricity and CHPs'!F33</f>
        <v>7.1993615699640126</v>
      </c>
      <c r="K158" s="1">
        <f>'[1]Electricity and CHPs'!G33</f>
        <v>26.771431294598283</v>
      </c>
    </row>
    <row r="159" spans="1:11" x14ac:dyDescent="0.35">
      <c r="A159" s="5" t="str">
        <f t="shared" si="85"/>
        <v>STEM</v>
      </c>
      <c r="B159" s="5" t="str">
        <f t="shared" si="72"/>
        <v>SPS2</v>
      </c>
      <c r="C159" s="5" t="str">
        <f t="shared" si="86"/>
        <v>CH</v>
      </c>
      <c r="D159" t="s">
        <v>804</v>
      </c>
      <c r="E159" t="str">
        <f>E169</f>
        <v>PJ/yr.</v>
      </c>
      <c r="F159" s="1">
        <f>SUM(F160:F164)</f>
        <v>9.3550000000000111</v>
      </c>
      <c r="G159" s="1">
        <f t="shared" ref="G159:K159" si="90">SUM(G160:G164)</f>
        <v>12.822949126451064</v>
      </c>
      <c r="H159" s="1">
        <f t="shared" si="90"/>
        <v>28.800018799509722</v>
      </c>
      <c r="I159" s="1">
        <f t="shared" si="90"/>
        <v>60.397187178759523</v>
      </c>
      <c r="J159" s="1">
        <f t="shared" si="90"/>
        <v>120.10762269460272</v>
      </c>
      <c r="K159" s="1">
        <f t="shared" si="90"/>
        <v>156.73816415074501</v>
      </c>
    </row>
    <row r="160" spans="1:11" x14ac:dyDescent="0.35">
      <c r="A160" s="5" t="str">
        <f t="shared" si="85"/>
        <v>STEM</v>
      </c>
      <c r="B160" s="5" t="str">
        <f t="shared" si="72"/>
        <v>SPS2</v>
      </c>
      <c r="C160" s="5" t="str">
        <f t="shared" si="86"/>
        <v>CH</v>
      </c>
      <c r="D160" t="s">
        <v>73</v>
      </c>
      <c r="E160" t="str">
        <f>E158</f>
        <v>PJ/yr.</v>
      </c>
      <c r="F160" s="1">
        <f>'[1]Electricity and CHPs'!B34</f>
        <v>0</v>
      </c>
      <c r="G160" s="1">
        <f>'[1]Electricity and CHPs'!C34</f>
        <v>0</v>
      </c>
      <c r="H160" s="1">
        <f>'[1]Electricity and CHPs'!D34</f>
        <v>0.14079688501016394</v>
      </c>
      <c r="I160" s="1">
        <f>'[1]Electricity and CHPs'!E34</f>
        <v>0.2741400422498631</v>
      </c>
      <c r="J160" s="1">
        <f>'[1]Electricity and CHPs'!F34</f>
        <v>17.743539911415631</v>
      </c>
      <c r="K160" s="1">
        <f>'[1]Electricity and CHPs'!G34</f>
        <v>41.699991763650537</v>
      </c>
    </row>
    <row r="161" spans="1:11" x14ac:dyDescent="0.35">
      <c r="A161" s="5" t="str">
        <f t="shared" si="85"/>
        <v>STEM</v>
      </c>
      <c r="B161" s="5" t="str">
        <f t="shared" si="72"/>
        <v>SPS2</v>
      </c>
      <c r="C161" s="5" t="str">
        <f t="shared" si="86"/>
        <v>CH</v>
      </c>
      <c r="D161" t="s">
        <v>74</v>
      </c>
      <c r="E161" t="str">
        <f>E160</f>
        <v>PJ/yr.</v>
      </c>
      <c r="F161" s="1">
        <f>'[1]Electricity and CHPs'!B35</f>
        <v>3.517953999707534</v>
      </c>
      <c r="G161" s="1">
        <f>'[1]Electricity and CHPs'!C35</f>
        <v>4.8498377393898808</v>
      </c>
      <c r="H161" s="1">
        <f>'[1]Electricity and CHPs'!D35</f>
        <v>11.161619403278777</v>
      </c>
      <c r="I161" s="1">
        <f>'[1]Electricity and CHPs'!E35</f>
        <v>19.470817746844464</v>
      </c>
      <c r="J161" s="1">
        <f>'[1]Electricity and CHPs'!F35</f>
        <v>40.834409442792669</v>
      </c>
      <c r="K161" s="1">
        <f>'[1]Electricity and CHPs'!G35</f>
        <v>55.443187600975179</v>
      </c>
    </row>
    <row r="162" spans="1:11" x14ac:dyDescent="0.35">
      <c r="A162" s="5" t="str">
        <f t="shared" si="85"/>
        <v>STEM</v>
      </c>
      <c r="B162" s="5" t="str">
        <f t="shared" si="72"/>
        <v>SPS2</v>
      </c>
      <c r="C162" s="5" t="str">
        <f t="shared" si="86"/>
        <v>CH</v>
      </c>
      <c r="D162" t="s">
        <v>75</v>
      </c>
      <c r="E162" t="str">
        <f>E161</f>
        <v>PJ/yr.</v>
      </c>
      <c r="F162" s="1">
        <f>'[1]Electricity and CHPs'!B36</f>
        <v>2.1349390887346629</v>
      </c>
      <c r="G162" s="1">
        <f>'[1]Electricity and CHPs'!C36</f>
        <v>3.3908432821003025</v>
      </c>
      <c r="H162" s="1">
        <f>'[1]Electricity and CHPs'!D36</f>
        <v>4.0453269370859894</v>
      </c>
      <c r="I162" s="1">
        <f>'[1]Electricity and CHPs'!E36</f>
        <v>12.242456166922107</v>
      </c>
      <c r="J162" s="1">
        <f>'[1]Electricity and CHPs'!F36</f>
        <v>9.447694557259176</v>
      </c>
      <c r="K162" s="1">
        <f>'[1]Electricity and CHPs'!G36</f>
        <v>2.0640399478835603</v>
      </c>
    </row>
    <row r="163" spans="1:11" x14ac:dyDescent="0.35">
      <c r="A163" s="5" t="str">
        <f t="shared" si="85"/>
        <v>STEM</v>
      </c>
      <c r="B163" s="5" t="str">
        <f t="shared" si="72"/>
        <v>SPS2</v>
      </c>
      <c r="C163" s="5" t="str">
        <f t="shared" si="86"/>
        <v>CH</v>
      </c>
      <c r="D163" t="s">
        <v>76</v>
      </c>
      <c r="E163" t="str">
        <f>E162</f>
        <v>PJ/yr.</v>
      </c>
      <c r="F163" s="1">
        <f>'[1]Electricity and CHPs'!B37</f>
        <v>0.86248322578584768</v>
      </c>
      <c r="G163" s="1">
        <f>'[1]Electricity and CHPs'!C37</f>
        <v>1.2878114211442655</v>
      </c>
      <c r="H163" s="1">
        <f>'[1]Electricity and CHPs'!D37</f>
        <v>3.4857136526655821</v>
      </c>
      <c r="I163" s="1">
        <f>'[1]Electricity and CHPs'!E37</f>
        <v>10.507419323507076</v>
      </c>
      <c r="J163" s="1">
        <f>'[1]Electricity and CHPs'!F37</f>
        <v>11.607084203372828</v>
      </c>
      <c r="K163" s="1">
        <f>'[1]Electricity and CHPs'!G37</f>
        <v>12.821466694723858</v>
      </c>
    </row>
    <row r="164" spans="1:11" x14ac:dyDescent="0.35">
      <c r="A164" s="5" t="str">
        <f t="shared" si="85"/>
        <v>STEM</v>
      </c>
      <c r="B164" s="5" t="str">
        <f t="shared" si="72"/>
        <v>SPS2</v>
      </c>
      <c r="C164" s="5" t="str">
        <f t="shared" si="86"/>
        <v>CH</v>
      </c>
      <c r="D164" t="s">
        <v>86</v>
      </c>
      <c r="E164" t="str">
        <f>E163</f>
        <v>PJ/yr.</v>
      </c>
      <c r="F164" s="1">
        <f>'[1]Electricity and CHPs'!B38</f>
        <v>2.8396236857719668</v>
      </c>
      <c r="G164" s="1">
        <f>'[1]Electricity and CHPs'!C38</f>
        <v>3.2944566838166156</v>
      </c>
      <c r="H164" s="1">
        <f>'[1]Electricity and CHPs'!D38</f>
        <v>9.9665619214692089</v>
      </c>
      <c r="I164" s="1">
        <f>'[1]Electricity and CHPs'!E38</f>
        <v>17.902353899236019</v>
      </c>
      <c r="J164" s="1">
        <f>'[1]Electricity and CHPs'!F38</f>
        <v>40.474894579762406</v>
      </c>
      <c r="K164" s="1">
        <f>'[1]Electricity and CHPs'!G38</f>
        <v>44.709478143511866</v>
      </c>
    </row>
    <row r="165" spans="1:11" x14ac:dyDescent="0.35">
      <c r="A165" s="5" t="str">
        <f>A168</f>
        <v>STEM</v>
      </c>
      <c r="B165" s="5" t="str">
        <f t="shared" si="72"/>
        <v>SPS2</v>
      </c>
      <c r="C165" s="5" t="str">
        <f>C168</f>
        <v>CH</v>
      </c>
      <c r="D165" t="s">
        <v>805</v>
      </c>
      <c r="E165" t="str">
        <f>E151</f>
        <v>PJ/yr.</v>
      </c>
      <c r="F165" s="1">
        <f>'[1]Electricity and CHPs'!B32</f>
        <v>0</v>
      </c>
      <c r="G165" s="1">
        <f>'[1]Electricity and CHPs'!C32</f>
        <v>0</v>
      </c>
      <c r="H165" s="1">
        <f>'[1]Electricity and CHPs'!D32</f>
        <v>0</v>
      </c>
      <c r="I165" s="1">
        <f>'[1]Electricity and CHPs'!E32</f>
        <v>0</v>
      </c>
      <c r="J165" s="1">
        <f>'[1]Electricity and CHPs'!F32</f>
        <v>1.3047293882992129E-2</v>
      </c>
      <c r="K165" s="1">
        <f>'[1]Electricity and CHPs'!G32</f>
        <v>8.3127211491230174E-2</v>
      </c>
    </row>
    <row r="166" spans="1:11" x14ac:dyDescent="0.35">
      <c r="A166" s="5" t="str">
        <f t="shared" ref="A166" si="91">A165</f>
        <v>STEM</v>
      </c>
      <c r="B166" s="5" t="str">
        <f t="shared" si="72"/>
        <v>SPS2</v>
      </c>
      <c r="C166" s="5" t="str">
        <f t="shared" ref="C166" si="92">C165</f>
        <v>CH</v>
      </c>
      <c r="D166" t="s">
        <v>90</v>
      </c>
      <c r="E166" t="str">
        <f>E152</f>
        <v>PJ/yr.</v>
      </c>
      <c r="F166" s="1">
        <f>F165</f>
        <v>0</v>
      </c>
      <c r="G166" s="1">
        <f t="shared" ref="G166:K166" si="93">G165</f>
        <v>0</v>
      </c>
      <c r="H166" s="1">
        <f t="shared" si="93"/>
        <v>0</v>
      </c>
      <c r="I166" s="1">
        <f t="shared" si="93"/>
        <v>0</v>
      </c>
      <c r="J166" s="1">
        <f t="shared" si="93"/>
        <v>1.3047293882992129E-2</v>
      </c>
      <c r="K166" s="1">
        <f t="shared" si="93"/>
        <v>8.3127211491230174E-2</v>
      </c>
    </row>
    <row r="167" spans="1:11" x14ac:dyDescent="0.35">
      <c r="A167" s="5" t="str">
        <f>A164</f>
        <v>STEM</v>
      </c>
      <c r="B167" s="5" t="str">
        <f t="shared" si="72"/>
        <v>SPS2</v>
      </c>
      <c r="C167" s="5" t="str">
        <f>C164</f>
        <v>CH</v>
      </c>
      <c r="D167" t="s">
        <v>806</v>
      </c>
      <c r="E167" t="str">
        <f>E164</f>
        <v>PJ/yr.</v>
      </c>
      <c r="F167" s="1">
        <f t="shared" ref="F167:K167" si="94">SUM(F168:F170)</f>
        <v>0</v>
      </c>
      <c r="G167" s="1">
        <f t="shared" si="94"/>
        <v>0</v>
      </c>
      <c r="H167" s="1">
        <f t="shared" si="94"/>
        <v>0</v>
      </c>
      <c r="I167" s="1">
        <f t="shared" si="94"/>
        <v>1.3305548505381959E-2</v>
      </c>
      <c r="J167" s="1">
        <f t="shared" si="94"/>
        <v>0.29129463429492092</v>
      </c>
      <c r="K167" s="1">
        <f t="shared" si="94"/>
        <v>0.21533094596318048</v>
      </c>
    </row>
    <row r="168" spans="1:11" x14ac:dyDescent="0.35">
      <c r="A168" s="5" t="str">
        <f t="shared" si="85"/>
        <v>STEM</v>
      </c>
      <c r="B168" s="5" t="str">
        <f t="shared" si="72"/>
        <v>SPS2</v>
      </c>
      <c r="C168" s="5" t="str">
        <f t="shared" si="86"/>
        <v>CH</v>
      </c>
      <c r="D168" t="s">
        <v>77</v>
      </c>
      <c r="E168" t="str">
        <f>E85</f>
        <v>PJ/yr.</v>
      </c>
      <c r="F168" s="1">
        <f>'[1]Electricity and CHPs'!B30</f>
        <v>0</v>
      </c>
      <c r="G168" s="1">
        <f>'[1]Electricity and CHPs'!C30</f>
        <v>0</v>
      </c>
      <c r="H168" s="1">
        <f>'[1]Electricity and CHPs'!D30</f>
        <v>0</v>
      </c>
      <c r="I168" s="1">
        <f>'[1]Electricity and CHPs'!E30</f>
        <v>0</v>
      </c>
      <c r="J168" s="1">
        <f>'[1]Electricity and CHPs'!F30</f>
        <v>9.4366132523989905E-3</v>
      </c>
      <c r="K168" s="1">
        <f>'[1]Electricity and CHPs'!G30</f>
        <v>9.5736306971418161E-3</v>
      </c>
    </row>
    <row r="169" spans="1:11" x14ac:dyDescent="0.35">
      <c r="A169" s="5" t="str">
        <f>A165</f>
        <v>STEM</v>
      </c>
      <c r="B169" s="5" t="str">
        <f t="shared" si="72"/>
        <v>SPS2</v>
      </c>
      <c r="C169" s="5" t="str">
        <f>C165</f>
        <v>CH</v>
      </c>
      <c r="D169" t="s">
        <v>78</v>
      </c>
      <c r="E169" t="str">
        <f>E134</f>
        <v>PJ/yr.</v>
      </c>
      <c r="F169" s="1">
        <f>'[1]Electricity and CHPs'!B46</f>
        <v>0</v>
      </c>
      <c r="G169" s="1">
        <f>'[1]Electricity and CHPs'!C46</f>
        <v>0</v>
      </c>
      <c r="H169" s="1">
        <f>'[1]Electricity and CHPs'!D46</f>
        <v>0</v>
      </c>
      <c r="I169" s="1">
        <f>'[1]Electricity and CHPs'!E46</f>
        <v>0</v>
      </c>
      <c r="J169" s="1">
        <f>'[1]Electricity and CHPs'!F46</f>
        <v>0.2541486035545687</v>
      </c>
      <c r="K169" s="1">
        <f>'[1]Electricity and CHPs'!G46</f>
        <v>0.20111958942757635</v>
      </c>
    </row>
    <row r="170" spans="1:11" x14ac:dyDescent="0.35">
      <c r="A170" s="5" t="str">
        <f t="shared" si="85"/>
        <v>STEM</v>
      </c>
      <c r="B170" s="5" t="str">
        <f t="shared" si="72"/>
        <v>SPS2</v>
      </c>
      <c r="C170" s="5" t="str">
        <f t="shared" si="86"/>
        <v>CH</v>
      </c>
      <c r="D170" t="s">
        <v>234</v>
      </c>
      <c r="E170" t="str">
        <f t="shared" ref="E170:E178" si="95">E156</f>
        <v>PJ/yr.</v>
      </c>
      <c r="F170" s="1">
        <f>'[1]Electricity and CHPs'!B57</f>
        <v>0</v>
      </c>
      <c r="G170" s="1">
        <f>'[1]Electricity and CHPs'!C57</f>
        <v>0</v>
      </c>
      <c r="H170" s="1">
        <f>'[1]Electricity and CHPs'!D57</f>
        <v>0</v>
      </c>
      <c r="I170" s="1">
        <f>'[1]Electricity and CHPs'!E57</f>
        <v>1.3305548505381959E-2</v>
      </c>
      <c r="J170" s="1">
        <f>'[1]Electricity and CHPs'!F57</f>
        <v>2.7709417487953237E-2</v>
      </c>
      <c r="K170" s="1">
        <f>'[1]Electricity and CHPs'!G57</f>
        <v>4.6377258384622993E-3</v>
      </c>
    </row>
    <row r="171" spans="1:11" x14ac:dyDescent="0.35">
      <c r="A171" s="5" t="str">
        <f t="shared" si="85"/>
        <v>STEM</v>
      </c>
      <c r="B171" s="5" t="str">
        <f t="shared" si="72"/>
        <v>SPS2</v>
      </c>
      <c r="C171" s="5" t="str">
        <f t="shared" si="86"/>
        <v>CH</v>
      </c>
      <c r="D171" t="s">
        <v>807</v>
      </c>
      <c r="E171" t="str">
        <f t="shared" si="95"/>
        <v>PJ/yr.</v>
      </c>
      <c r="F171" s="1">
        <f>SUM(F172:F178)</f>
        <v>0.13865721783827611</v>
      </c>
      <c r="G171" s="1">
        <f t="shared" ref="G171:K171" si="96">SUM(G172:G178)</f>
        <v>5.3189937693996825E-2</v>
      </c>
      <c r="H171" s="1">
        <f t="shared" si="96"/>
        <v>0.13815422282321366</v>
      </c>
      <c r="I171" s="1">
        <f t="shared" si="96"/>
        <v>0.57878089494459928</v>
      </c>
      <c r="J171" s="1">
        <f t="shared" si="96"/>
        <v>1.3174435262758568</v>
      </c>
      <c r="K171" s="1">
        <f t="shared" si="96"/>
        <v>3.3903890349759269</v>
      </c>
    </row>
    <row r="172" spans="1:11" x14ac:dyDescent="0.35">
      <c r="A172" s="5" t="str">
        <f t="shared" si="85"/>
        <v>STEM</v>
      </c>
      <c r="B172" s="5" t="str">
        <f t="shared" si="72"/>
        <v>SPS2</v>
      </c>
      <c r="C172" s="5" t="str">
        <f t="shared" si="86"/>
        <v>CH</v>
      </c>
      <c r="D172" t="s">
        <v>79</v>
      </c>
      <c r="E172" t="str">
        <f t="shared" si="95"/>
        <v>PJ/yr.</v>
      </c>
      <c r="F172" s="1">
        <f>'[1]Electricity and CHPs'!B70</f>
        <v>9.4756414824528262E-2</v>
      </c>
      <c r="G172" s="1">
        <f>'[1]Electricity and CHPs'!C70</f>
        <v>1.394258850241374E-2</v>
      </c>
      <c r="H172" s="1">
        <f>'[1]Electricity and CHPs'!D70</f>
        <v>9.4479564162516752E-2</v>
      </c>
      <c r="I172" s="1">
        <f>'[1]Electricity and CHPs'!E70</f>
        <v>9.4502053482509882E-2</v>
      </c>
      <c r="J172" s="1">
        <f>'[1]Electricity and CHPs'!F70</f>
        <v>3.9507100699995745E-2</v>
      </c>
      <c r="K172" s="1">
        <f>'[1]Electricity and CHPs'!G70</f>
        <v>2.2110939755479751E-2</v>
      </c>
    </row>
    <row r="173" spans="1:11" x14ac:dyDescent="0.35">
      <c r="A173" s="5" t="str">
        <f t="shared" si="85"/>
        <v>STEM</v>
      </c>
      <c r="B173" s="5" t="str">
        <f t="shared" si="72"/>
        <v>SPS2</v>
      </c>
      <c r="C173" s="5" t="str">
        <f t="shared" si="86"/>
        <v>CH</v>
      </c>
      <c r="D173" t="s">
        <v>80</v>
      </c>
      <c r="E173" t="str">
        <f t="shared" si="95"/>
        <v>PJ/yr.</v>
      </c>
      <c r="F173" s="1">
        <f>'[1]Electricity and CHPs'!B71</f>
        <v>1.1910676455954998E-2</v>
      </c>
      <c r="G173" s="1">
        <f>'[1]Electricity and CHPs'!C71</f>
        <v>9.5561032743182867E-3</v>
      </c>
      <c r="H173" s="1">
        <f>'[1]Electricity and CHPs'!D71</f>
        <v>1.1805313005730157E-2</v>
      </c>
      <c r="I173" s="1">
        <f>'[1]Electricity and CHPs'!E71</f>
        <v>1.4644885469731266E-2</v>
      </c>
      <c r="J173" s="1">
        <f>'[1]Electricity and CHPs'!F71</f>
        <v>0.76081477696441813</v>
      </c>
      <c r="K173" s="1">
        <f>'[1]Electricity and CHPs'!G71</f>
        <v>2.0443668509016937</v>
      </c>
    </row>
    <row r="174" spans="1:11" x14ac:dyDescent="0.35">
      <c r="A174" s="5" t="str">
        <f t="shared" si="85"/>
        <v>STEM</v>
      </c>
      <c r="B174" s="5" t="str">
        <f t="shared" si="72"/>
        <v>SPS2</v>
      </c>
      <c r="C174" s="5" t="str">
        <f t="shared" si="86"/>
        <v>CH</v>
      </c>
      <c r="D174" t="s">
        <v>81</v>
      </c>
      <c r="E174" t="str">
        <f t="shared" si="95"/>
        <v>PJ/yr.</v>
      </c>
      <c r="F174" s="1">
        <f>'[1]Electricity and CHPs'!B72</f>
        <v>1.085002497670866E-2</v>
      </c>
      <c r="G174" s="1">
        <f>'[1]Electricity and CHPs'!C72</f>
        <v>8.6706876960889467E-3</v>
      </c>
      <c r="H174" s="1">
        <f>'[1]Electricity and CHPs'!D72</f>
        <v>1.0769365756979366E-2</v>
      </c>
      <c r="I174" s="1">
        <f>'[1]Electricity and CHPs'!E72</f>
        <v>1.2981682776919693E-2</v>
      </c>
      <c r="J174" s="1">
        <f>'[1]Electricity and CHPs'!F72</f>
        <v>4.9274787745857751E-2</v>
      </c>
      <c r="K174" s="1">
        <f>'[1]Electricity and CHPs'!G72</f>
        <v>0.670042879705671</v>
      </c>
    </row>
    <row r="175" spans="1:11" x14ac:dyDescent="0.35">
      <c r="A175" s="5" t="str">
        <f t="shared" si="85"/>
        <v>STEM</v>
      </c>
      <c r="B175" s="5" t="str">
        <f t="shared" si="72"/>
        <v>SPS2</v>
      </c>
      <c r="C175" s="5" t="str">
        <f t="shared" si="86"/>
        <v>CH</v>
      </c>
      <c r="D175" t="s">
        <v>82</v>
      </c>
      <c r="E175" t="str">
        <f t="shared" si="95"/>
        <v>PJ/yr.</v>
      </c>
      <c r="F175" s="1">
        <f>'[1]Electricity and CHPs'!B73</f>
        <v>3.5250296478945347E-3</v>
      </c>
      <c r="G175" s="1">
        <f>'[1]Electricity and CHPs'!C73</f>
        <v>3.5050133131747561E-3</v>
      </c>
      <c r="H175" s="1">
        <f>'[1]Electricity and CHPs'!D73</f>
        <v>3.5171463520507081E-3</v>
      </c>
      <c r="I175" s="1">
        <f>'[1]Electricity and CHPs'!E73</f>
        <v>0.11965953375178971</v>
      </c>
      <c r="J175" s="1">
        <f>'[1]Electricity and CHPs'!F73</f>
        <v>0.24607688091850316</v>
      </c>
      <c r="K175" s="1">
        <f>'[1]Electricity and CHPs'!G73</f>
        <v>0.48264932112600467</v>
      </c>
    </row>
    <row r="176" spans="1:11" x14ac:dyDescent="0.35">
      <c r="A176" s="5" t="str">
        <f t="shared" si="85"/>
        <v>STEM</v>
      </c>
      <c r="B176" s="5" t="str">
        <f t="shared" si="85"/>
        <v>SPS2</v>
      </c>
      <c r="C176" s="5" t="str">
        <f t="shared" si="86"/>
        <v>CH</v>
      </c>
      <c r="D176" t="s">
        <v>1853</v>
      </c>
      <c r="E176" t="str">
        <f t="shared" si="95"/>
        <v>PJ/yr.</v>
      </c>
      <c r="F176" s="1">
        <f>'[1]Electricity and CHPs'!B74</f>
        <v>7.0348774659658901E-3</v>
      </c>
      <c r="G176" s="1">
        <f>'[1]Electricity and CHPs'!C74</f>
        <v>6.9951665223490968E-3</v>
      </c>
      <c r="H176" s="1">
        <f>'[1]Electricity and CHPs'!D74</f>
        <v>7.0236339705959791E-3</v>
      </c>
      <c r="I176" s="1">
        <f>'[1]Electricity and CHPs'!E74</f>
        <v>0.12669446859424921</v>
      </c>
      <c r="J176" s="1">
        <f>'[1]Electricity and CHPs'!F74</f>
        <v>8.0877772756358893E-2</v>
      </c>
      <c r="K176" s="1">
        <f>'[1]Electricity and CHPs'!G74</f>
        <v>6.393711732609858E-2</v>
      </c>
    </row>
    <row r="177" spans="1:11" x14ac:dyDescent="0.35">
      <c r="A177" s="5" t="str">
        <f t="shared" si="85"/>
        <v>STEM</v>
      </c>
      <c r="B177" s="5" t="str">
        <f t="shared" si="85"/>
        <v>SPS2</v>
      </c>
      <c r="C177" s="5" t="str">
        <f t="shared" si="86"/>
        <v>CH</v>
      </c>
      <c r="D177" t="s">
        <v>83</v>
      </c>
      <c r="E177" t="str">
        <f t="shared" si="95"/>
        <v>PJ/yr.</v>
      </c>
      <c r="F177" s="1">
        <f>'[1]Electricity and CHPs'!B75</f>
        <v>7.038517535714532E-3</v>
      </c>
      <c r="G177" s="1">
        <f>'[1]Electricity and CHPs'!C75</f>
        <v>6.9986966819744062E-3</v>
      </c>
      <c r="H177" s="1">
        <f>'[1]Electricity and CHPs'!D75</f>
        <v>7.0257047475615775E-3</v>
      </c>
      <c r="I177" s="1">
        <f>'[1]Electricity and CHPs'!E75</f>
        <v>0.13056761501147288</v>
      </c>
      <c r="J177" s="1">
        <f>'[1]Electricity and CHPs'!F75</f>
        <v>8.5312151018614668E-2</v>
      </c>
      <c r="K177" s="1">
        <f>'[1]Electricity and CHPs'!G75</f>
        <v>6.4101664945966447E-2</v>
      </c>
    </row>
    <row r="178" spans="1:11" x14ac:dyDescent="0.35">
      <c r="A178" s="5" t="str">
        <f t="shared" si="85"/>
        <v>STEM</v>
      </c>
      <c r="B178" s="5" t="str">
        <f t="shared" si="85"/>
        <v>SPS2</v>
      </c>
      <c r="C178" s="5" t="str">
        <f t="shared" si="86"/>
        <v>CH</v>
      </c>
      <c r="D178" t="s">
        <v>87</v>
      </c>
      <c r="E178" t="str">
        <f t="shared" si="95"/>
        <v>PJ/yr.</v>
      </c>
      <c r="F178" s="1">
        <f>'[1]Electricity and CHPs'!B76</f>
        <v>3.5416769315092496E-3</v>
      </c>
      <c r="G178" s="1">
        <f>'[1]Electricity and CHPs'!C76</f>
        <v>3.521681703677585E-3</v>
      </c>
      <c r="H178" s="1">
        <f>'[1]Electricity and CHPs'!D76</f>
        <v>3.5334948277790856E-3</v>
      </c>
      <c r="I178" s="1">
        <f>'[1]Electricity and CHPs'!E76</f>
        <v>7.973065585792663E-2</v>
      </c>
      <c r="J178" s="1">
        <f>'[1]Electricity and CHPs'!F76</f>
        <v>5.5580056172108518E-2</v>
      </c>
      <c r="K178" s="1">
        <f>'[1]Electricity and CHPs'!G76</f>
        <v>4.3180261215012734E-2</v>
      </c>
    </row>
    <row r="179" spans="1:11" x14ac:dyDescent="0.35">
      <c r="A179" s="9" t="str">
        <f t="shared" si="85"/>
        <v>STEM</v>
      </c>
      <c r="B179" s="9" t="str">
        <f t="shared" si="85"/>
        <v>SPS2</v>
      </c>
      <c r="C179" s="2" t="str">
        <f t="shared" si="86"/>
        <v>CH</v>
      </c>
      <c r="D179" s="2" t="s">
        <v>152</v>
      </c>
      <c r="E179" s="2" t="str">
        <f>E167</f>
        <v>PJ/yr.</v>
      </c>
      <c r="F179" s="3">
        <f>SUM(F180,F231)</f>
        <v>29.652908035955772</v>
      </c>
      <c r="G179" s="3">
        <f t="shared" ref="G179:K179" si="97">SUM(G180,G231)</f>
        <v>33.775791916978534</v>
      </c>
      <c r="H179" s="3">
        <f t="shared" si="97"/>
        <v>31.252405456935719</v>
      </c>
      <c r="I179" s="3">
        <f t="shared" si="97"/>
        <v>37.525512315393186</v>
      </c>
      <c r="J179" s="3">
        <f t="shared" si="97"/>
        <v>40.87303738700534</v>
      </c>
      <c r="K179" s="3">
        <f t="shared" si="97"/>
        <v>46.431406041119622</v>
      </c>
    </row>
    <row r="180" spans="1:11" x14ac:dyDescent="0.35">
      <c r="A180" s="5" t="s">
        <v>5</v>
      </c>
      <c r="B180" s="5" t="str">
        <f t="shared" ref="B180:B243" si="98">B179</f>
        <v>SPS2</v>
      </c>
      <c r="C180" s="5" t="s">
        <v>7</v>
      </c>
      <c r="D180" t="s">
        <v>808</v>
      </c>
      <c r="E180" t="str">
        <f>E168</f>
        <v>PJ/yr.</v>
      </c>
      <c r="F180" s="1">
        <f t="shared" ref="F180:K180" si="99">F181+F208</f>
        <v>23.058255462740171</v>
      </c>
      <c r="G180" s="1">
        <f t="shared" si="99"/>
        <v>25.541770287562478</v>
      </c>
      <c r="H180" s="1">
        <f t="shared" si="99"/>
        <v>23.583250589749596</v>
      </c>
      <c r="I180" s="1">
        <f t="shared" si="99"/>
        <v>28.699598557599181</v>
      </c>
      <c r="J180" s="1">
        <f t="shared" si="99"/>
        <v>30.943523462355362</v>
      </c>
      <c r="K180" s="1">
        <f t="shared" si="99"/>
        <v>32.816949733445945</v>
      </c>
    </row>
    <row r="181" spans="1:11" x14ac:dyDescent="0.35">
      <c r="A181" s="5" t="s">
        <v>5</v>
      </c>
      <c r="B181" s="5" t="str">
        <f t="shared" si="98"/>
        <v>SPS2</v>
      </c>
      <c r="C181" s="5" t="s">
        <v>7</v>
      </c>
      <c r="D181" t="s">
        <v>823</v>
      </c>
      <c r="E181" t="str">
        <f>E165</f>
        <v>PJ/yr.</v>
      </c>
      <c r="F181" s="1">
        <f t="shared" ref="F181:K181" si="100">SUM(F183,F187,F188,F196,F197,F205,F207)</f>
        <v>16.904103978207978</v>
      </c>
      <c r="G181" s="1">
        <f t="shared" si="100"/>
        <v>13.667997556017607</v>
      </c>
      <c r="H181" s="1">
        <f t="shared" si="100"/>
        <v>13.939682504058135</v>
      </c>
      <c r="I181" s="1">
        <f t="shared" si="100"/>
        <v>13.897469475599285</v>
      </c>
      <c r="J181" s="1">
        <f t="shared" si="100"/>
        <v>16.089035971244325</v>
      </c>
      <c r="K181" s="1">
        <f t="shared" si="100"/>
        <v>16.600051038839858</v>
      </c>
    </row>
    <row r="182" spans="1:11" x14ac:dyDescent="0.35">
      <c r="A182" s="5" t="s">
        <v>5</v>
      </c>
      <c r="B182" s="5" t="str">
        <f t="shared" si="98"/>
        <v>SPS2</v>
      </c>
      <c r="C182" s="5" t="s">
        <v>7</v>
      </c>
      <c r="D182" t="s">
        <v>809</v>
      </c>
      <c r="E182" t="s">
        <v>8</v>
      </c>
      <c r="F182" s="1">
        <f>F183</f>
        <v>9.3054319811906663E-3</v>
      </c>
      <c r="G182" s="1">
        <f t="shared" ref="G182:K182" si="101">G183</f>
        <v>5.7217520977084725E-3</v>
      </c>
      <c r="H182" s="1">
        <f t="shared" si="101"/>
        <v>1.8217865774277888E-2</v>
      </c>
      <c r="I182" s="1">
        <f t="shared" si="101"/>
        <v>2.6550499555954349E-3</v>
      </c>
      <c r="J182" s="1">
        <f t="shared" si="101"/>
        <v>4.7228891687767045E-3</v>
      </c>
      <c r="K182" s="1">
        <f t="shared" si="101"/>
        <v>9.2312707847173203E-5</v>
      </c>
    </row>
    <row r="183" spans="1:11" x14ac:dyDescent="0.35">
      <c r="A183" s="5" t="s">
        <v>5</v>
      </c>
      <c r="B183" s="5" t="str">
        <f t="shared" si="98"/>
        <v>SPS2</v>
      </c>
      <c r="C183" s="5" t="s">
        <v>7</v>
      </c>
      <c r="D183" t="s">
        <v>229</v>
      </c>
      <c r="E183" t="s">
        <v>8</v>
      </c>
      <c r="F183" s="1">
        <f>'[1]Electricity and CHPs'!B$94</f>
        <v>9.3054319811906663E-3</v>
      </c>
      <c r="G183" s="1">
        <f>'[1]Electricity and CHPs'!C$94</f>
        <v>5.7217520977084725E-3</v>
      </c>
      <c r="H183" s="1">
        <f>'[1]Electricity and CHPs'!D$94</f>
        <v>1.8217865774277888E-2</v>
      </c>
      <c r="I183" s="1">
        <f>'[1]Electricity and CHPs'!E$94</f>
        <v>2.6550499555954349E-3</v>
      </c>
      <c r="J183" s="1">
        <f>'[1]Electricity and CHPs'!F$94</f>
        <v>4.7228891687767045E-3</v>
      </c>
      <c r="K183" s="1">
        <f>'[1]Electricity and CHPs'!G$94</f>
        <v>9.2312707847173203E-5</v>
      </c>
    </row>
    <row r="184" spans="1:11" x14ac:dyDescent="0.35">
      <c r="A184" s="5" t="s">
        <v>5</v>
      </c>
      <c r="B184" s="5" t="str">
        <f t="shared" si="98"/>
        <v>SPS2</v>
      </c>
      <c r="C184" s="5" t="s">
        <v>7</v>
      </c>
      <c r="D184" t="s">
        <v>517</v>
      </c>
      <c r="E184" t="s">
        <v>8</v>
      </c>
      <c r="F184" s="1">
        <f>F183-F185</f>
        <v>9.3054319811906663E-3</v>
      </c>
      <c r="G184" s="1">
        <f t="shared" ref="G184:K184" si="102">G183-G185</f>
        <v>5.7217520977084725E-3</v>
      </c>
      <c r="H184" s="1">
        <f t="shared" si="102"/>
        <v>1.8217865774277888E-2</v>
      </c>
      <c r="I184" s="1">
        <f t="shared" si="102"/>
        <v>2.6550499555954349E-3</v>
      </c>
      <c r="J184" s="1">
        <f t="shared" si="102"/>
        <v>4.7228891687767045E-3</v>
      </c>
      <c r="K184" s="1">
        <f t="shared" si="102"/>
        <v>9.2312707847173203E-5</v>
      </c>
    </row>
    <row r="185" spans="1:11" x14ac:dyDescent="0.35">
      <c r="A185" s="5" t="s">
        <v>5</v>
      </c>
      <c r="B185" s="5" t="str">
        <f t="shared" si="98"/>
        <v>SPS2</v>
      </c>
      <c r="C185" s="5" t="s">
        <v>7</v>
      </c>
      <c r="D185" t="s">
        <v>541</v>
      </c>
      <c r="E185" t="s">
        <v>8</v>
      </c>
      <c r="F185" s="1">
        <f t="shared" ref="F185:K185" si="103">F183*IFERROR(F78/F74,0)</f>
        <v>0</v>
      </c>
      <c r="G185" s="1">
        <f t="shared" si="103"/>
        <v>0</v>
      </c>
      <c r="H185" s="1">
        <f t="shared" si="103"/>
        <v>0</v>
      </c>
      <c r="I185" s="1">
        <f t="shared" si="103"/>
        <v>0</v>
      </c>
      <c r="J185" s="1">
        <f t="shared" si="103"/>
        <v>0</v>
      </c>
      <c r="K185" s="1">
        <f t="shared" si="103"/>
        <v>0</v>
      </c>
    </row>
    <row r="186" spans="1:11" x14ac:dyDescent="0.35">
      <c r="A186" s="5" t="s">
        <v>5</v>
      </c>
      <c r="B186" s="5" t="str">
        <f t="shared" si="98"/>
        <v>SPS2</v>
      </c>
      <c r="C186" s="5" t="s">
        <v>7</v>
      </c>
      <c r="D186" t="s">
        <v>810</v>
      </c>
      <c r="E186" t="s">
        <v>8</v>
      </c>
      <c r="F186" s="1">
        <f>SUM(F187:F188)</f>
        <v>1.8035672097961197</v>
      </c>
      <c r="G186" s="1">
        <f t="shared" ref="G186:K186" si="104">SUM(G187:G188)</f>
        <v>1.0460606222007625E-2</v>
      </c>
      <c r="H186" s="1">
        <f t="shared" si="104"/>
        <v>2.6020424204535861E-2</v>
      </c>
      <c r="I186" s="1">
        <f t="shared" si="104"/>
        <v>0</v>
      </c>
      <c r="J186" s="1">
        <f t="shared" si="104"/>
        <v>0</v>
      </c>
      <c r="K186" s="1">
        <f t="shared" si="104"/>
        <v>0</v>
      </c>
    </row>
    <row r="187" spans="1:11" x14ac:dyDescent="0.35">
      <c r="A187" s="5" t="s">
        <v>5</v>
      </c>
      <c r="B187" s="5" t="str">
        <f t="shared" si="98"/>
        <v>SPS2</v>
      </c>
      <c r="C187" s="5" t="s">
        <v>7</v>
      </c>
      <c r="D187" t="s">
        <v>153</v>
      </c>
      <c r="E187" t="s">
        <v>8</v>
      </c>
      <c r="F187" s="1">
        <f>'[1]Electricity and CHPs'!B$91</f>
        <v>1.8035672097961197</v>
      </c>
      <c r="G187" s="1">
        <f>'[1]Electricity and CHPs'!C$91</f>
        <v>1.0460606222007625E-2</v>
      </c>
      <c r="H187" s="1">
        <f>'[1]Electricity and CHPs'!D$91</f>
        <v>2.6020424204535861E-2</v>
      </c>
      <c r="I187" s="1">
        <f>'[1]Electricity and CHPs'!E$91</f>
        <v>0</v>
      </c>
      <c r="J187" s="1">
        <f>'[1]Electricity and CHPs'!F$91</f>
        <v>0</v>
      </c>
      <c r="K187" s="1">
        <f>'[1]Electricity and CHPs'!G$91</f>
        <v>0</v>
      </c>
    </row>
    <row r="188" spans="1:11" x14ac:dyDescent="0.35">
      <c r="A188" s="5" t="s">
        <v>5</v>
      </c>
      <c r="B188" s="5" t="str">
        <f t="shared" si="98"/>
        <v>SPS2</v>
      </c>
      <c r="C188" s="5" t="s">
        <v>7</v>
      </c>
      <c r="D188" t="s">
        <v>154</v>
      </c>
      <c r="E188" t="s">
        <v>8</v>
      </c>
      <c r="F188" s="1">
        <f>'[1]Electricity and CHPs'!B$95</f>
        <v>0</v>
      </c>
      <c r="G188" s="1">
        <f>'[1]Electricity and CHPs'!C$95</f>
        <v>0</v>
      </c>
      <c r="H188" s="1">
        <f>'[1]Electricity and CHPs'!D$95</f>
        <v>0</v>
      </c>
      <c r="I188" s="1">
        <f>'[1]Electricity and CHPs'!E$95</f>
        <v>0</v>
      </c>
      <c r="J188" s="1">
        <f>'[1]Electricity and CHPs'!F$95</f>
        <v>0</v>
      </c>
      <c r="K188" s="1">
        <f>'[1]Electricity and CHPs'!G$95</f>
        <v>0</v>
      </c>
    </row>
    <row r="189" spans="1:11" x14ac:dyDescent="0.35">
      <c r="A189" s="5"/>
      <c r="B189" s="5" t="str">
        <f t="shared" si="98"/>
        <v>SPS2</v>
      </c>
      <c r="C189" s="5" t="str">
        <f>C188</f>
        <v>CH</v>
      </c>
      <c r="D189" t="s">
        <v>811</v>
      </c>
      <c r="E189" t="s">
        <v>8</v>
      </c>
      <c r="F189" s="1">
        <f>SUM(F190:F191)</f>
        <v>1.7572372086742127</v>
      </c>
      <c r="G189" s="1">
        <f t="shared" ref="G189:K189" si="105">SUM(G190:G191)</f>
        <v>1.0251626752687548E-2</v>
      </c>
      <c r="H189" s="1">
        <f t="shared" si="105"/>
        <v>2.5533549380414022E-2</v>
      </c>
      <c r="I189" s="1">
        <f t="shared" si="105"/>
        <v>0</v>
      </c>
      <c r="J189" s="1">
        <f t="shared" si="105"/>
        <v>0</v>
      </c>
      <c r="K189" s="1">
        <f t="shared" si="105"/>
        <v>0</v>
      </c>
    </row>
    <row r="190" spans="1:11" x14ac:dyDescent="0.35">
      <c r="A190" s="5" t="s">
        <v>5</v>
      </c>
      <c r="B190" s="5" t="str">
        <f t="shared" si="98"/>
        <v>SPS2</v>
      </c>
      <c r="C190" s="5" t="s">
        <v>7</v>
      </c>
      <c r="D190" t="s">
        <v>567</v>
      </c>
      <c r="E190" t="s">
        <v>8</v>
      </c>
      <c r="F190" s="1">
        <f>F187-F193</f>
        <v>1.7572372086742127</v>
      </c>
      <c r="G190" s="1">
        <f t="shared" ref="G190:K190" si="106">G187-G193</f>
        <v>1.0251626752687548E-2</v>
      </c>
      <c r="H190" s="1">
        <f t="shared" si="106"/>
        <v>2.5533549380414022E-2</v>
      </c>
      <c r="I190" s="1">
        <f t="shared" si="106"/>
        <v>0</v>
      </c>
      <c r="J190" s="1">
        <f t="shared" si="106"/>
        <v>0</v>
      </c>
      <c r="K190" s="1">
        <f t="shared" si="106"/>
        <v>0</v>
      </c>
    </row>
    <row r="191" spans="1:11" x14ac:dyDescent="0.35">
      <c r="A191" s="5" t="s">
        <v>5</v>
      </c>
      <c r="B191" s="5" t="str">
        <f t="shared" si="98"/>
        <v>SPS2</v>
      </c>
      <c r="C191" s="5" t="s">
        <v>7</v>
      </c>
      <c r="D191" t="s">
        <v>568</v>
      </c>
      <c r="E191" t="s">
        <v>8</v>
      </c>
      <c r="F191" s="1">
        <f t="shared" ref="F191:K191" si="107">F188-F194</f>
        <v>0</v>
      </c>
      <c r="G191" s="1">
        <f t="shared" si="107"/>
        <v>0</v>
      </c>
      <c r="H191" s="1">
        <f t="shared" si="107"/>
        <v>0</v>
      </c>
      <c r="I191" s="1">
        <f t="shared" si="107"/>
        <v>0</v>
      </c>
      <c r="J191" s="1">
        <f t="shared" si="107"/>
        <v>0</v>
      </c>
      <c r="K191" s="1">
        <f t="shared" si="107"/>
        <v>0</v>
      </c>
    </row>
    <row r="192" spans="1:11" x14ac:dyDescent="0.35">
      <c r="A192" s="5"/>
      <c r="B192" s="5" t="str">
        <f t="shared" si="98"/>
        <v>SPS2</v>
      </c>
      <c r="C192" s="5" t="s">
        <v>7</v>
      </c>
      <c r="D192" t="s">
        <v>812</v>
      </c>
      <c r="E192" t="s">
        <v>8</v>
      </c>
      <c r="F192" s="1">
        <f>SUM(F193:F194)</f>
        <v>4.6330001121906973E-2</v>
      </c>
      <c r="G192" s="1">
        <f t="shared" ref="G192:K192" si="108">SUM(G193:G194)</f>
        <v>2.0897946932007668E-4</v>
      </c>
      <c r="H192" s="1">
        <f t="shared" si="108"/>
        <v>4.8687482412183733E-4</v>
      </c>
      <c r="I192" s="1">
        <f t="shared" si="108"/>
        <v>0</v>
      </c>
      <c r="J192" s="1">
        <f t="shared" si="108"/>
        <v>0</v>
      </c>
      <c r="K192" s="1">
        <f t="shared" si="108"/>
        <v>0</v>
      </c>
    </row>
    <row r="193" spans="1:11" x14ac:dyDescent="0.35">
      <c r="A193" s="5" t="s">
        <v>5</v>
      </c>
      <c r="B193" s="5" t="str">
        <f t="shared" si="98"/>
        <v>SPS2</v>
      </c>
      <c r="C193" s="5" t="s">
        <v>7</v>
      </c>
      <c r="D193" t="s">
        <v>628</v>
      </c>
      <c r="E193" t="s">
        <v>8</v>
      </c>
      <c r="F193" s="1">
        <f t="shared" ref="F193:K194" si="109">F187*IFERROR(F116/F84,0)</f>
        <v>4.6330001121906973E-2</v>
      </c>
      <c r="G193" s="1">
        <f t="shared" si="109"/>
        <v>2.0897946932007668E-4</v>
      </c>
      <c r="H193" s="1">
        <f t="shared" si="109"/>
        <v>4.8687482412183733E-4</v>
      </c>
      <c r="I193" s="1">
        <f t="shared" si="109"/>
        <v>0</v>
      </c>
      <c r="J193" s="1">
        <f t="shared" si="109"/>
        <v>0</v>
      </c>
      <c r="K193" s="1">
        <f t="shared" si="109"/>
        <v>0</v>
      </c>
    </row>
    <row r="194" spans="1:11" x14ac:dyDescent="0.35">
      <c r="A194" s="5" t="s">
        <v>5</v>
      </c>
      <c r="B194" s="5" t="str">
        <f t="shared" si="98"/>
        <v>SPS2</v>
      </c>
      <c r="C194" s="5" t="s">
        <v>7</v>
      </c>
      <c r="D194" t="s">
        <v>629</v>
      </c>
      <c r="E194" t="s">
        <v>8</v>
      </c>
      <c r="F194" s="1">
        <f t="shared" si="109"/>
        <v>0</v>
      </c>
      <c r="G194" s="1">
        <f t="shared" si="109"/>
        <v>0</v>
      </c>
      <c r="H194" s="1">
        <f t="shared" si="109"/>
        <v>0</v>
      </c>
      <c r="I194" s="1">
        <f t="shared" si="109"/>
        <v>0</v>
      </c>
      <c r="J194" s="1">
        <f t="shared" si="109"/>
        <v>0</v>
      </c>
      <c r="K194" s="1">
        <f t="shared" si="109"/>
        <v>0</v>
      </c>
    </row>
    <row r="195" spans="1:11" x14ac:dyDescent="0.35">
      <c r="A195" s="5" t="s">
        <v>5</v>
      </c>
      <c r="B195" s="5" t="str">
        <f t="shared" si="98"/>
        <v>SPS2</v>
      </c>
      <c r="C195" s="5" t="s">
        <v>7</v>
      </c>
      <c r="D195" t="s">
        <v>813</v>
      </c>
      <c r="E195" t="s">
        <v>8</v>
      </c>
      <c r="F195" s="1">
        <f>SUM(F196:F197)</f>
        <v>14.461293934727083</v>
      </c>
      <c r="G195" s="1">
        <f t="shared" ref="G195:K195" si="110">SUM(G196:G197)</f>
        <v>13.139207441512719</v>
      </c>
      <c r="H195" s="1">
        <f t="shared" si="110"/>
        <v>13.418573940005864</v>
      </c>
      <c r="I195" s="1">
        <f t="shared" si="110"/>
        <v>13.510643508245217</v>
      </c>
      <c r="J195" s="1">
        <f t="shared" si="110"/>
        <v>13.032280065846161</v>
      </c>
      <c r="K195" s="1">
        <f t="shared" si="110"/>
        <v>11.851087520382212</v>
      </c>
    </row>
    <row r="196" spans="1:11" x14ac:dyDescent="0.35">
      <c r="A196" s="5" t="s">
        <v>5</v>
      </c>
      <c r="B196" s="5" t="str">
        <f t="shared" si="98"/>
        <v>SPS2</v>
      </c>
      <c r="C196" s="5" t="s">
        <v>7</v>
      </c>
      <c r="D196" t="s">
        <v>155</v>
      </c>
      <c r="E196" t="s">
        <v>8</v>
      </c>
      <c r="F196" s="1">
        <f>'[1]Electricity and CHPs'!B$93-F197</f>
        <v>14.461293934727083</v>
      </c>
      <c r="G196" s="1">
        <f>'[1]Electricity and CHPs'!C$93-G197</f>
        <v>13.139207441512719</v>
      </c>
      <c r="H196" s="1">
        <f>'[1]Electricity and CHPs'!D$93-H197</f>
        <v>13.418573940005864</v>
      </c>
      <c r="I196" s="1">
        <f>'[1]Electricity and CHPs'!E$93-I197</f>
        <v>13.510643508245217</v>
      </c>
      <c r="J196" s="1">
        <f>'[1]Electricity and CHPs'!F$93-J197</f>
        <v>10.52687776832445</v>
      </c>
      <c r="K196" s="1">
        <f>'[1]Electricity and CHPs'!G$93-K197</f>
        <v>4.9040372350318098</v>
      </c>
    </row>
    <row r="197" spans="1:11" x14ac:dyDescent="0.35">
      <c r="A197" s="5" t="s">
        <v>5</v>
      </c>
      <c r="B197" s="5" t="str">
        <f t="shared" si="98"/>
        <v>SPS2</v>
      </c>
      <c r="C197" s="5" t="s">
        <v>7</v>
      </c>
      <c r="D197" t="s">
        <v>156</v>
      </c>
      <c r="E197" t="s">
        <v>8</v>
      </c>
      <c r="F197" s="1" cm="1">
        <f t="array" ref="F197">SUMPRODUCT(("CHPWSTCCS"=[1]OUT_Electricity_CHP!$B$1:$B$10000)*1,([1]OUT_Electricity_CHP!$C$1:$C$10000="Var_Fout")*1,([1]OUT_Electricity_CHP!$D$1:$D$10000="LTH")*1,[1]OUT_Electricity_CHP!E$1:E$10000)</f>
        <v>0</v>
      </c>
      <c r="G197" s="1" cm="1">
        <f t="array" ref="G197">SUMPRODUCT(("CHPWSTCCS"=[1]OUT_Electricity_CHP!$B$1:$B$10000)*1,([1]OUT_Electricity_CHP!$C$1:$C$10000="Var_Fout")*1,([1]OUT_Electricity_CHP!$D$1:$D$10000="LTH")*1,[1]OUT_Electricity_CHP!F$1:F$10000)</f>
        <v>0</v>
      </c>
      <c r="H197" s="1" cm="1">
        <f t="array" ref="H197">SUMPRODUCT(("CHPWSTCCS"=[1]OUT_Electricity_CHP!$B$1:$B$10000)*1,([1]OUT_Electricity_CHP!$C$1:$C$10000="Var_Fout")*1,([1]OUT_Electricity_CHP!$D$1:$D$10000="LTH")*1,[1]OUT_Electricity_CHP!G$1:G$10000)</f>
        <v>0</v>
      </c>
      <c r="I197" s="1" cm="1">
        <f t="array" ref="I197">SUMPRODUCT(("CHPWSTCCS"=[1]OUT_Electricity_CHP!$B$1:$B$10000)*1,([1]OUT_Electricity_CHP!$C$1:$C$10000="Var_Fout")*1,([1]OUT_Electricity_CHP!$D$1:$D$10000="LTH")*1,[1]OUT_Electricity_CHP!H$1:H$10000)</f>
        <v>0</v>
      </c>
      <c r="J197" s="1" cm="1">
        <f t="array" ref="J197">SUMPRODUCT(("CHPWSTCCS"=[1]OUT_Electricity_CHP!$B$1:$B$10000)*1,([1]OUT_Electricity_CHP!$C$1:$C$10000="Var_Fout")*1,([1]OUT_Electricity_CHP!$D$1:$D$10000="LTH")*1,[1]OUT_Electricity_CHP!I$1:I$10000)</f>
        <v>2.5054022975217101</v>
      </c>
      <c r="K197" s="1" cm="1">
        <f t="array" ref="K197">SUMPRODUCT(("CHPWSTCCS"=[1]OUT_Electricity_CHP!$B$1:$B$10000)*1,([1]OUT_Electricity_CHP!$C$1:$C$10000="Var_Fout")*1,([1]OUT_Electricity_CHP!$D$1:$D$10000="LTH")*1,[1]OUT_Electricity_CHP!J$1:J$10000)</f>
        <v>6.9470502853504019</v>
      </c>
    </row>
    <row r="198" spans="1:11" x14ac:dyDescent="0.35">
      <c r="A198" s="5" t="s">
        <v>5</v>
      </c>
      <c r="B198" s="5" t="str">
        <f t="shared" si="98"/>
        <v>SPS2</v>
      </c>
      <c r="C198" s="5" t="s">
        <v>7</v>
      </c>
      <c r="D198" t="s">
        <v>814</v>
      </c>
      <c r="E198" t="s">
        <v>8</v>
      </c>
      <c r="F198" s="1">
        <f>SUM(F199:F200)</f>
        <v>7.2306469673635414</v>
      </c>
      <c r="G198" s="1">
        <f t="shared" ref="G198:K198" si="111">SUM(G199:G200)</f>
        <v>6.5696037207563585</v>
      </c>
      <c r="H198" s="1">
        <f t="shared" si="111"/>
        <v>6.7092869700029318</v>
      </c>
      <c r="I198" s="1">
        <f t="shared" si="111"/>
        <v>6.7553217541226074</v>
      </c>
      <c r="J198" s="1">
        <f t="shared" si="111"/>
        <v>6.5161400329230803</v>
      </c>
      <c r="K198" s="1">
        <f t="shared" si="111"/>
        <v>5.9255437601911058</v>
      </c>
    </row>
    <row r="199" spans="1:11" x14ac:dyDescent="0.35">
      <c r="A199" s="5" t="s">
        <v>5</v>
      </c>
      <c r="B199" s="5" t="str">
        <f t="shared" si="98"/>
        <v>SPS2</v>
      </c>
      <c r="C199" s="5" t="s">
        <v>7</v>
      </c>
      <c r="D199" t="s">
        <v>157</v>
      </c>
      <c r="E199" t="s">
        <v>8</v>
      </c>
      <c r="F199" s="1">
        <f t="shared" ref="F199:K199" si="112">F196*F138/F131</f>
        <v>7.2306469673635414</v>
      </c>
      <c r="G199" s="1">
        <f t="shared" si="112"/>
        <v>6.5696037207563585</v>
      </c>
      <c r="H199" s="1">
        <f t="shared" si="112"/>
        <v>6.7092869700029318</v>
      </c>
      <c r="I199" s="1">
        <f t="shared" si="112"/>
        <v>6.7553217541226074</v>
      </c>
      <c r="J199" s="1">
        <f t="shared" si="112"/>
        <v>5.2634388841622251</v>
      </c>
      <c r="K199" s="1">
        <f t="shared" si="112"/>
        <v>2.4520186175159049</v>
      </c>
    </row>
    <row r="200" spans="1:11" x14ac:dyDescent="0.35">
      <c r="A200" s="5" t="s">
        <v>5</v>
      </c>
      <c r="B200" s="5" t="str">
        <f t="shared" si="98"/>
        <v>SPS2</v>
      </c>
      <c r="C200" s="5" t="s">
        <v>7</v>
      </c>
      <c r="D200" t="s">
        <v>158</v>
      </c>
      <c r="E200" t="s">
        <v>8</v>
      </c>
      <c r="F200" s="1">
        <f t="shared" ref="F200:K200" si="113">F197*IFERROR(F139/F132,0)</f>
        <v>0</v>
      </c>
      <c r="G200" s="1">
        <f t="shared" si="113"/>
        <v>0</v>
      </c>
      <c r="H200" s="1">
        <f t="shared" si="113"/>
        <v>0</v>
      </c>
      <c r="I200" s="1">
        <f t="shared" si="113"/>
        <v>0</v>
      </c>
      <c r="J200" s="1">
        <f t="shared" si="113"/>
        <v>1.252701148760855</v>
      </c>
      <c r="K200" s="1">
        <f t="shared" si="113"/>
        <v>3.473525142675201</v>
      </c>
    </row>
    <row r="201" spans="1:11" x14ac:dyDescent="0.35">
      <c r="A201" s="5" t="s">
        <v>5</v>
      </c>
      <c r="B201" s="5" t="str">
        <f t="shared" si="98"/>
        <v>SPS2</v>
      </c>
      <c r="C201" s="5" t="s">
        <v>7</v>
      </c>
      <c r="D201" t="s">
        <v>815</v>
      </c>
      <c r="E201" t="s">
        <v>8</v>
      </c>
      <c r="F201" s="1">
        <f>SUM(F202:F203)</f>
        <v>7.2306469673635414</v>
      </c>
      <c r="G201" s="1">
        <f t="shared" ref="G201:K201" si="114">SUM(G202:G203)</f>
        <v>6.5696037207563602</v>
      </c>
      <c r="H201" s="1">
        <f t="shared" si="114"/>
        <v>6.7092869700029318</v>
      </c>
      <c r="I201" s="1">
        <f t="shared" si="114"/>
        <v>6.7553217541226092</v>
      </c>
      <c r="J201" s="1">
        <f t="shared" si="114"/>
        <v>6.5161400329230803</v>
      </c>
      <c r="K201" s="1">
        <f t="shared" si="114"/>
        <v>5.9255437601911058</v>
      </c>
    </row>
    <row r="202" spans="1:11" x14ac:dyDescent="0.35">
      <c r="A202" s="5" t="s">
        <v>5</v>
      </c>
      <c r="B202" s="5" t="str">
        <f t="shared" si="98"/>
        <v>SPS2</v>
      </c>
      <c r="C202" s="5" t="s">
        <v>7</v>
      </c>
      <c r="D202" t="s">
        <v>159</v>
      </c>
      <c r="E202" t="s">
        <v>8</v>
      </c>
      <c r="F202" s="1">
        <f t="shared" ref="F202:K203" si="115">F196-F199</f>
        <v>7.2306469673635414</v>
      </c>
      <c r="G202" s="1">
        <f t="shared" si="115"/>
        <v>6.5696037207563602</v>
      </c>
      <c r="H202" s="1">
        <f t="shared" si="115"/>
        <v>6.7092869700029318</v>
      </c>
      <c r="I202" s="1">
        <f t="shared" si="115"/>
        <v>6.7553217541226092</v>
      </c>
      <c r="J202" s="1">
        <f t="shared" si="115"/>
        <v>5.2634388841622251</v>
      </c>
      <c r="K202" s="1">
        <f t="shared" si="115"/>
        <v>2.4520186175159049</v>
      </c>
    </row>
    <row r="203" spans="1:11" x14ac:dyDescent="0.35">
      <c r="A203" s="5" t="s">
        <v>5</v>
      </c>
      <c r="B203" s="5" t="str">
        <f t="shared" si="98"/>
        <v>SPS2</v>
      </c>
      <c r="C203" s="5" t="s">
        <v>7</v>
      </c>
      <c r="D203" t="s">
        <v>160</v>
      </c>
      <c r="E203" t="s">
        <v>8</v>
      </c>
      <c r="F203" s="1">
        <f t="shared" si="115"/>
        <v>0</v>
      </c>
      <c r="G203" s="1">
        <f t="shared" si="115"/>
        <v>0</v>
      </c>
      <c r="H203" s="1">
        <f t="shared" si="115"/>
        <v>0</v>
      </c>
      <c r="I203" s="1">
        <f t="shared" si="115"/>
        <v>0</v>
      </c>
      <c r="J203" s="1">
        <f t="shared" si="115"/>
        <v>1.252701148760855</v>
      </c>
      <c r="K203" s="1">
        <f t="shared" si="115"/>
        <v>3.473525142675201</v>
      </c>
    </row>
    <row r="204" spans="1:11" x14ac:dyDescent="0.35">
      <c r="A204" s="5" t="s">
        <v>5</v>
      </c>
      <c r="B204" s="5" t="str">
        <f t="shared" si="98"/>
        <v>SPS2</v>
      </c>
      <c r="C204" s="5" t="s">
        <v>7</v>
      </c>
      <c r="D204" t="s">
        <v>816</v>
      </c>
      <c r="E204" t="s">
        <v>8</v>
      </c>
      <c r="F204" s="1">
        <f>F205</f>
        <v>0.6299374017035867</v>
      </c>
      <c r="G204" s="1">
        <f t="shared" ref="G204:K204" si="116">G205</f>
        <v>0.51260775618517251</v>
      </c>
      <c r="H204" s="1">
        <f t="shared" si="116"/>
        <v>0.47687027407345711</v>
      </c>
      <c r="I204" s="1">
        <f t="shared" si="116"/>
        <v>0.38417091739847298</v>
      </c>
      <c r="J204" s="1">
        <f t="shared" si="116"/>
        <v>3.0405742715657582</v>
      </c>
      <c r="K204" s="1">
        <f t="shared" si="116"/>
        <v>4.7367901955843559</v>
      </c>
    </row>
    <row r="205" spans="1:11" x14ac:dyDescent="0.35">
      <c r="A205" s="5" t="s">
        <v>5</v>
      </c>
      <c r="B205" s="5" t="str">
        <f t="shared" si="98"/>
        <v>SPS2</v>
      </c>
      <c r="C205" s="5" t="s">
        <v>7</v>
      </c>
      <c r="D205" t="s">
        <v>161</v>
      </c>
      <c r="E205" t="s">
        <v>8</v>
      </c>
      <c r="F205" s="1">
        <f>'[1]Electricity and CHPs'!B$92</f>
        <v>0.6299374017035867</v>
      </c>
      <c r="G205" s="1">
        <f>'[1]Electricity and CHPs'!C$92</f>
        <v>0.51260775618517251</v>
      </c>
      <c r="H205" s="1">
        <f>'[1]Electricity and CHPs'!D$92</f>
        <v>0.47687027407345711</v>
      </c>
      <c r="I205" s="1">
        <f>'[1]Electricity and CHPs'!E$92</f>
        <v>0.38417091739847298</v>
      </c>
      <c r="J205" s="1">
        <f>'[1]Electricity and CHPs'!F$92</f>
        <v>3.0405742715657582</v>
      </c>
      <c r="K205" s="1">
        <f>'[1]Electricity and CHPs'!G$92</f>
        <v>4.7367901955843559</v>
      </c>
    </row>
    <row r="206" spans="1:11" x14ac:dyDescent="0.35">
      <c r="A206" s="5" t="s">
        <v>5</v>
      </c>
      <c r="B206" s="5" t="str">
        <f t="shared" si="98"/>
        <v>SPS2</v>
      </c>
      <c r="C206" s="5" t="s">
        <v>7</v>
      </c>
      <c r="D206" t="s">
        <v>817</v>
      </c>
      <c r="E206" t="s">
        <v>8</v>
      </c>
      <c r="F206" s="1">
        <f>+F207</f>
        <v>0</v>
      </c>
      <c r="G206" s="1">
        <f t="shared" ref="G206:K206" si="117">+G207</f>
        <v>0</v>
      </c>
      <c r="H206" s="1">
        <f t="shared" si="117"/>
        <v>0</v>
      </c>
      <c r="I206" s="1">
        <f t="shared" si="117"/>
        <v>0</v>
      </c>
      <c r="J206" s="1">
        <f t="shared" si="117"/>
        <v>1.1458744663627313E-2</v>
      </c>
      <c r="K206" s="1">
        <f t="shared" si="117"/>
        <v>1.2081010165440836E-2</v>
      </c>
    </row>
    <row r="207" spans="1:11" x14ac:dyDescent="0.35">
      <c r="A207" s="5" t="s">
        <v>5</v>
      </c>
      <c r="B207" s="5" t="str">
        <f t="shared" si="98"/>
        <v>SPS2</v>
      </c>
      <c r="C207" s="5" t="s">
        <v>7</v>
      </c>
      <c r="D207" t="s">
        <v>162</v>
      </c>
      <c r="E207" t="s">
        <v>8</v>
      </c>
      <c r="F207" s="1">
        <f>'[1]Electricity and CHPs'!B$96</f>
        <v>0</v>
      </c>
      <c r="G207" s="1">
        <f>'[1]Electricity and CHPs'!C$96</f>
        <v>0</v>
      </c>
      <c r="H207" s="1">
        <f>'[1]Electricity and CHPs'!D$96</f>
        <v>0</v>
      </c>
      <c r="I207" s="1">
        <f>'[1]Electricity and CHPs'!E$96</f>
        <v>0</v>
      </c>
      <c r="J207" s="1">
        <f>'[1]Electricity and CHPs'!F$96</f>
        <v>1.1458744663627313E-2</v>
      </c>
      <c r="K207" s="1">
        <f>'[1]Electricity and CHPs'!G$96</f>
        <v>1.2081010165440836E-2</v>
      </c>
    </row>
    <row r="208" spans="1:11" x14ac:dyDescent="0.35">
      <c r="A208" s="5" t="s">
        <v>5</v>
      </c>
      <c r="B208" s="5" t="str">
        <f t="shared" si="98"/>
        <v>SPS2</v>
      </c>
      <c r="C208" s="5" t="s">
        <v>7</v>
      </c>
      <c r="D208" t="s">
        <v>818</v>
      </c>
      <c r="E208" t="str">
        <f>E165</f>
        <v>PJ/yr.</v>
      </c>
      <c r="F208" s="1">
        <f>SUM(F209,F215,F217,F223,F225,F227,F229)</f>
        <v>6.154151484532191</v>
      </c>
      <c r="G208" s="1">
        <f t="shared" ref="G208:K208" si="118">SUM(G209,G215,G217,G223,G225,G227,G229)</f>
        <v>11.873772731544872</v>
      </c>
      <c r="H208" s="1">
        <f t="shared" si="118"/>
        <v>9.643568085691463</v>
      </c>
      <c r="I208" s="1">
        <f t="shared" si="118"/>
        <v>14.802129081999896</v>
      </c>
      <c r="J208" s="1">
        <f t="shared" si="118"/>
        <v>14.854487491111037</v>
      </c>
      <c r="K208" s="1">
        <f t="shared" si="118"/>
        <v>16.216898694606087</v>
      </c>
    </row>
    <row r="209" spans="1:11" x14ac:dyDescent="0.35">
      <c r="A209" s="5" t="s">
        <v>5</v>
      </c>
      <c r="B209" s="5" t="str">
        <f t="shared" si="98"/>
        <v>SPS2</v>
      </c>
      <c r="C209" s="5" t="s">
        <v>7</v>
      </c>
      <c r="D209" t="s">
        <v>819</v>
      </c>
      <c r="E209" t="str">
        <f>E168</f>
        <v>PJ/yr.</v>
      </c>
      <c r="F209" s="1">
        <f>+F210</f>
        <v>2.6347648350925197</v>
      </c>
      <c r="G209" s="1">
        <f t="shared" ref="G209:K209" si="119">+G210</f>
        <v>3.3309577477327847</v>
      </c>
      <c r="H209" s="1">
        <f t="shared" si="119"/>
        <v>1.4409435124312191</v>
      </c>
      <c r="I209" s="1">
        <f t="shared" si="119"/>
        <v>0.90178815380818678</v>
      </c>
      <c r="J209" s="1">
        <f t="shared" si="119"/>
        <v>1.6334796053089655</v>
      </c>
      <c r="K209" s="1">
        <f t="shared" si="119"/>
        <v>2.1840705743000979</v>
      </c>
    </row>
    <row r="210" spans="1:11" x14ac:dyDescent="0.35">
      <c r="A210" s="5" t="s">
        <v>5</v>
      </c>
      <c r="B210" s="5" t="str">
        <f t="shared" si="98"/>
        <v>SPS2</v>
      </c>
      <c r="C210" s="5" t="s">
        <v>7</v>
      </c>
      <c r="D210" t="s">
        <v>163</v>
      </c>
      <c r="E210" t="str">
        <f>E169</f>
        <v>PJ/yr.</v>
      </c>
      <c r="F210" s="1">
        <f>'[1]Electricity and CHPs'!B$97+F214</f>
        <v>2.6347648350925197</v>
      </c>
      <c r="G210" s="1">
        <f>'[1]Electricity and CHPs'!C$97+G214</f>
        <v>3.3309577477327847</v>
      </c>
      <c r="H210" s="1">
        <f>'[1]Electricity and CHPs'!D$97+H214</f>
        <v>1.4409435124312191</v>
      </c>
      <c r="I210" s="1">
        <f>'[1]Electricity and CHPs'!E$97+I214</f>
        <v>0.90178815380818678</v>
      </c>
      <c r="J210" s="1">
        <f>'[1]Electricity and CHPs'!F$97+J214</f>
        <v>1.6334796053089655</v>
      </c>
      <c r="K210" s="1">
        <f>'[1]Electricity and CHPs'!G$97+K214</f>
        <v>2.1840705743000979</v>
      </c>
    </row>
    <row r="211" spans="1:11" x14ac:dyDescent="0.35">
      <c r="A211" s="5"/>
      <c r="B211" s="5" t="str">
        <f t="shared" si="98"/>
        <v>SPS2</v>
      </c>
      <c r="C211" s="5" t="str">
        <f>C210</f>
        <v>CH</v>
      </c>
      <c r="D211" t="s">
        <v>822</v>
      </c>
      <c r="E211" t="str">
        <f>E170</f>
        <v>PJ/yr.</v>
      </c>
      <c r="F211" s="1">
        <f>F212</f>
        <v>1.7329349686545676</v>
      </c>
      <c r="G211" s="1">
        <f t="shared" ref="G211:K211" si="120">G212</f>
        <v>2.429171913023584</v>
      </c>
      <c r="H211" s="1">
        <f t="shared" si="120"/>
        <v>0.53915505233381122</v>
      </c>
      <c r="I211" s="1">
        <f t="shared" si="120"/>
        <v>0</v>
      </c>
      <c r="J211" s="1">
        <f t="shared" si="120"/>
        <v>0</v>
      </c>
      <c r="K211" s="1">
        <f t="shared" si="120"/>
        <v>0</v>
      </c>
    </row>
    <row r="212" spans="1:11" x14ac:dyDescent="0.35">
      <c r="A212" s="5" t="s">
        <v>5</v>
      </c>
      <c r="B212" s="5" t="str">
        <f t="shared" si="98"/>
        <v>SPS2</v>
      </c>
      <c r="C212" s="5" t="s">
        <v>7</v>
      </c>
      <c r="D212" t="s">
        <v>820</v>
      </c>
      <c r="E212" t="str">
        <f>E169</f>
        <v>PJ/yr.</v>
      </c>
      <c r="F212" s="1">
        <f>F210-F214</f>
        <v>1.7329349686545676</v>
      </c>
      <c r="G212" s="1">
        <f t="shared" ref="G212:K212" si="121">G210-G214</f>
        <v>2.429171913023584</v>
      </c>
      <c r="H212" s="1">
        <f t="shared" si="121"/>
        <v>0.53915505233381122</v>
      </c>
      <c r="I212" s="1">
        <f t="shared" si="121"/>
        <v>0</v>
      </c>
      <c r="J212" s="1">
        <f t="shared" si="121"/>
        <v>0</v>
      </c>
      <c r="K212" s="1">
        <f t="shared" si="121"/>
        <v>0</v>
      </c>
    </row>
    <row r="213" spans="1:11" x14ac:dyDescent="0.35">
      <c r="A213" s="5"/>
      <c r="B213" s="5" t="str">
        <f t="shared" si="98"/>
        <v>SPS2</v>
      </c>
      <c r="C213" s="5" t="str">
        <f>C212</f>
        <v>CH</v>
      </c>
      <c r="D213" t="s">
        <v>824</v>
      </c>
      <c r="E213" t="str">
        <f>E170</f>
        <v>PJ/yr.</v>
      </c>
      <c r="F213" s="1">
        <f>F214</f>
        <v>0.90182986643795204</v>
      </c>
      <c r="G213" s="1">
        <f t="shared" ref="G213:K213" si="122">G214</f>
        <v>0.90178583470920082</v>
      </c>
      <c r="H213" s="1">
        <f t="shared" si="122"/>
        <v>0.90178846009740787</v>
      </c>
      <c r="I213" s="1">
        <f t="shared" si="122"/>
        <v>0.90178815380818678</v>
      </c>
      <c r="J213" s="1">
        <f t="shared" si="122"/>
        <v>1.6334796053089655</v>
      </c>
      <c r="K213" s="1">
        <f t="shared" si="122"/>
        <v>2.1840705743000979</v>
      </c>
    </row>
    <row r="214" spans="1:11" x14ac:dyDescent="0.35">
      <c r="A214" s="5" t="s">
        <v>5</v>
      </c>
      <c r="B214" s="5" t="str">
        <f t="shared" si="98"/>
        <v>SPS2</v>
      </c>
      <c r="C214" s="5" t="s">
        <v>7</v>
      </c>
      <c r="D214" t="s">
        <v>821</v>
      </c>
      <c r="E214" t="str">
        <f>E170</f>
        <v>PJ/yr.</v>
      </c>
      <c r="F214" s="1">
        <f>'[1]Electricity and CHPs'!B$98</f>
        <v>0.90182986643795204</v>
      </c>
      <c r="G214" s="1">
        <f>'[1]Electricity and CHPs'!C$98</f>
        <v>0.90178583470920082</v>
      </c>
      <c r="H214" s="1">
        <f>'[1]Electricity and CHPs'!D$98</f>
        <v>0.90178846009740787</v>
      </c>
      <c r="I214" s="1">
        <f>'[1]Electricity and CHPs'!E$98</f>
        <v>0.90178815380818678</v>
      </c>
      <c r="J214" s="1">
        <f>'[1]Electricity and CHPs'!F$98</f>
        <v>1.6334796053089655</v>
      </c>
      <c r="K214" s="1">
        <f>'[1]Electricity and CHPs'!G$98</f>
        <v>2.1840705743000979</v>
      </c>
    </row>
    <row r="215" spans="1:11" x14ac:dyDescent="0.35">
      <c r="A215" s="5" t="s">
        <v>5</v>
      </c>
      <c r="B215" s="5" t="str">
        <f t="shared" si="98"/>
        <v>SPS2</v>
      </c>
      <c r="C215" s="5" t="s">
        <v>7</v>
      </c>
      <c r="D215" t="s">
        <v>825</v>
      </c>
      <c r="E215" t="str">
        <f>E170</f>
        <v>PJ/yr.</v>
      </c>
      <c r="F215" s="1">
        <f>+F216</f>
        <v>1.4500750022345674</v>
      </c>
      <c r="G215" s="1">
        <f t="shared" ref="G215:K215" si="123">+G216</f>
        <v>3.8015512173085249</v>
      </c>
      <c r="H215" s="1">
        <f t="shared" si="123"/>
        <v>3.7980214619961394</v>
      </c>
      <c r="I215" s="1">
        <f t="shared" si="123"/>
        <v>1.0687035992549894</v>
      </c>
      <c r="J215" s="1">
        <f t="shared" si="123"/>
        <v>0</v>
      </c>
      <c r="K215" s="1">
        <f t="shared" si="123"/>
        <v>0</v>
      </c>
    </row>
    <row r="216" spans="1:11" x14ac:dyDescent="0.35">
      <c r="A216" s="5" t="s">
        <v>5</v>
      </c>
      <c r="B216" s="5" t="str">
        <f t="shared" si="98"/>
        <v>SPS2</v>
      </c>
      <c r="C216" s="5" t="s">
        <v>7</v>
      </c>
      <c r="D216" t="s">
        <v>164</v>
      </c>
      <c r="E216" t="str">
        <f>E171</f>
        <v>PJ/yr.</v>
      </c>
      <c r="F216" s="1">
        <f>'[1]Electricity and CHPs'!B$99</f>
        <v>1.4500750022345674</v>
      </c>
      <c r="G216" s="1">
        <f>'[1]Electricity and CHPs'!C$99</f>
        <v>3.8015512173085249</v>
      </c>
      <c r="H216" s="1">
        <f>'[1]Electricity and CHPs'!D$99</f>
        <v>3.7980214619961394</v>
      </c>
      <c r="I216" s="1">
        <f>'[1]Electricity and CHPs'!E$99</f>
        <v>1.0687035992549894</v>
      </c>
      <c r="J216" s="1">
        <f>'[1]Electricity and CHPs'!F$99</f>
        <v>0</v>
      </c>
      <c r="K216" s="1">
        <f>'[1]Electricity and CHPs'!G$99</f>
        <v>0</v>
      </c>
    </row>
    <row r="217" spans="1:11" x14ac:dyDescent="0.35">
      <c r="A217" s="5" t="s">
        <v>5</v>
      </c>
      <c r="B217" s="5" t="str">
        <f t="shared" si="98"/>
        <v>SPS2</v>
      </c>
      <c r="C217" s="5" t="s">
        <v>7</v>
      </c>
      <c r="D217" t="s">
        <v>826</v>
      </c>
      <c r="E217" t="str">
        <f>E171</f>
        <v>PJ/yr.</v>
      </c>
      <c r="F217" s="1">
        <f>+F218</f>
        <v>0.18411968437606124</v>
      </c>
      <c r="G217" s="1">
        <f t="shared" ref="G217:K217" si="124">+G218</f>
        <v>0.18479633797709649</v>
      </c>
      <c r="H217" s="1">
        <f t="shared" si="124"/>
        <v>4.2616585829279149E-3</v>
      </c>
      <c r="I217" s="1">
        <f t="shared" si="124"/>
        <v>6.473148390706197E-4</v>
      </c>
      <c r="J217" s="1">
        <f t="shared" si="124"/>
        <v>2.7801913942633062E-4</v>
      </c>
      <c r="K217" s="1">
        <f t="shared" si="124"/>
        <v>1.2769491224645839E-5</v>
      </c>
    </row>
    <row r="218" spans="1:11" x14ac:dyDescent="0.35">
      <c r="A218" s="5" t="s">
        <v>5</v>
      </c>
      <c r="B218" s="5" t="str">
        <f t="shared" si="98"/>
        <v>SPS2</v>
      </c>
      <c r="C218" s="5" t="s">
        <v>7</v>
      </c>
      <c r="D218" t="s">
        <v>165</v>
      </c>
      <c r="E218" t="str">
        <f>E172</f>
        <v>PJ/yr.</v>
      </c>
      <c r="F218" s="1">
        <f>'[1]Electricity and CHPs'!B$100</f>
        <v>0.18411968437606124</v>
      </c>
      <c r="G218" s="1">
        <f>'[1]Electricity and CHPs'!C$100</f>
        <v>0.18479633797709649</v>
      </c>
      <c r="H218" s="1">
        <f>'[1]Electricity and CHPs'!D$100</f>
        <v>4.2616585829279149E-3</v>
      </c>
      <c r="I218" s="1">
        <f>'[1]Electricity and CHPs'!E$100</f>
        <v>6.473148390706197E-4</v>
      </c>
      <c r="J218" s="1">
        <f>'[1]Electricity and CHPs'!F$100</f>
        <v>2.7801913942633062E-4</v>
      </c>
      <c r="K218" s="1">
        <f>'[1]Electricity and CHPs'!G$100</f>
        <v>1.2769491224645839E-5</v>
      </c>
    </row>
    <row r="219" spans="1:11" x14ac:dyDescent="0.35">
      <c r="A219" s="5"/>
      <c r="B219" s="5" t="str">
        <f t="shared" si="98"/>
        <v>SPS2</v>
      </c>
      <c r="C219" s="5" t="s">
        <v>7</v>
      </c>
      <c r="D219" t="s">
        <v>827</v>
      </c>
      <c r="E219" t="str">
        <f>E171</f>
        <v>PJ/yr.</v>
      </c>
      <c r="F219" s="1">
        <f>F220</f>
        <v>0.18411968437606124</v>
      </c>
      <c r="G219" s="1">
        <f t="shared" ref="G219:K219" si="125">G220</f>
        <v>0.18479633797709649</v>
      </c>
      <c r="H219" s="1">
        <f t="shared" si="125"/>
        <v>4.2616585829279149E-3</v>
      </c>
      <c r="I219" s="1">
        <f t="shared" si="125"/>
        <v>6.473148390706197E-4</v>
      </c>
      <c r="J219" s="1">
        <f t="shared" si="125"/>
        <v>2.7801913942633062E-4</v>
      </c>
      <c r="K219" s="1">
        <f t="shared" si="125"/>
        <v>1.2769491224645839E-5</v>
      </c>
    </row>
    <row r="220" spans="1:11" x14ac:dyDescent="0.35">
      <c r="A220" s="5" t="s">
        <v>5</v>
      </c>
      <c r="B220" s="5" t="str">
        <f t="shared" si="98"/>
        <v>SPS2</v>
      </c>
      <c r="C220" s="5" t="s">
        <v>7</v>
      </c>
      <c r="D220" t="s">
        <v>518</v>
      </c>
      <c r="E220" t="str">
        <f>E172</f>
        <v>PJ/yr.</v>
      </c>
      <c r="F220" s="1">
        <f>F218-F222</f>
        <v>0.18411968437606124</v>
      </c>
      <c r="G220" s="1">
        <f t="shared" ref="G220:K220" si="126">G218-G222</f>
        <v>0.18479633797709649</v>
      </c>
      <c r="H220" s="1">
        <f t="shared" si="126"/>
        <v>4.2616585829279149E-3</v>
      </c>
      <c r="I220" s="1">
        <f t="shared" si="126"/>
        <v>6.473148390706197E-4</v>
      </c>
      <c r="J220" s="1">
        <f t="shared" si="126"/>
        <v>2.7801913942633062E-4</v>
      </c>
      <c r="K220" s="1">
        <f t="shared" si="126"/>
        <v>1.2769491224645839E-5</v>
      </c>
    </row>
    <row r="221" spans="1:11" x14ac:dyDescent="0.35">
      <c r="A221" s="5"/>
      <c r="B221" s="5" t="str">
        <f t="shared" si="98"/>
        <v>SPS2</v>
      </c>
      <c r="C221" s="5" t="s">
        <v>7</v>
      </c>
      <c r="D221" t="s">
        <v>828</v>
      </c>
      <c r="E221" t="str">
        <f>E172</f>
        <v>PJ/yr.</v>
      </c>
      <c r="F221" s="1">
        <f>F222</f>
        <v>0</v>
      </c>
      <c r="G221" s="1">
        <f t="shared" ref="G221:K221" si="127">G222</f>
        <v>0</v>
      </c>
      <c r="H221" s="1">
        <f t="shared" si="127"/>
        <v>0</v>
      </c>
      <c r="I221" s="1">
        <f t="shared" si="127"/>
        <v>0</v>
      </c>
      <c r="J221" s="1">
        <f t="shared" si="127"/>
        <v>0</v>
      </c>
      <c r="K221" s="1">
        <f t="shared" si="127"/>
        <v>0</v>
      </c>
    </row>
    <row r="222" spans="1:11" x14ac:dyDescent="0.35">
      <c r="A222" s="5" t="s">
        <v>5</v>
      </c>
      <c r="B222" s="5" t="str">
        <f t="shared" si="98"/>
        <v>SPS2</v>
      </c>
      <c r="C222" s="5" t="s">
        <v>7</v>
      </c>
      <c r="D222" t="s">
        <v>542</v>
      </c>
      <c r="E222" t="str">
        <f>E173</f>
        <v>PJ/yr.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x14ac:dyDescent="0.35">
      <c r="A223" s="5" t="s">
        <v>5</v>
      </c>
      <c r="B223" s="5" t="str">
        <f t="shared" si="98"/>
        <v>SPS2</v>
      </c>
      <c r="C223" s="5" t="s">
        <v>7</v>
      </c>
      <c r="D223" t="s">
        <v>829</v>
      </c>
      <c r="E223" t="str">
        <f>E172</f>
        <v>PJ/yr.</v>
      </c>
      <c r="F223" s="1">
        <f>+F224</f>
        <v>1.8851919628290423</v>
      </c>
      <c r="G223" s="1">
        <f t="shared" ref="G223:K223" si="128">+G224</f>
        <v>1.7013798559936546</v>
      </c>
      <c r="H223" s="1">
        <f t="shared" si="128"/>
        <v>1.4587357178157696</v>
      </c>
      <c r="I223" s="1">
        <f t="shared" si="128"/>
        <v>1.8842957266719109</v>
      </c>
      <c r="J223" s="1">
        <f t="shared" si="128"/>
        <v>1.1282161876652337</v>
      </c>
      <c r="K223" s="1">
        <f t="shared" si="128"/>
        <v>0.67555009302145841</v>
      </c>
    </row>
    <row r="224" spans="1:11" x14ac:dyDescent="0.35">
      <c r="A224" s="5" t="s">
        <v>5</v>
      </c>
      <c r="B224" s="5" t="str">
        <f t="shared" si="98"/>
        <v>SPS2</v>
      </c>
      <c r="C224" s="5" t="s">
        <v>7</v>
      </c>
      <c r="D224" t="s">
        <v>166</v>
      </c>
      <c r="E224" t="str">
        <f>E173</f>
        <v>PJ/yr.</v>
      </c>
      <c r="F224" s="1">
        <f>'[1]Electricity and CHPs'!B$101</f>
        <v>1.8851919628290423</v>
      </c>
      <c r="G224" s="1">
        <f>'[1]Electricity and CHPs'!C$101</f>
        <v>1.7013798559936546</v>
      </c>
      <c r="H224" s="1">
        <f>'[1]Electricity and CHPs'!D$101</f>
        <v>1.4587357178157696</v>
      </c>
      <c r="I224" s="1">
        <f>'[1]Electricity and CHPs'!E$101</f>
        <v>1.8842957266719109</v>
      </c>
      <c r="J224" s="1">
        <f>'[1]Electricity and CHPs'!F$101</f>
        <v>1.1282161876652337</v>
      </c>
      <c r="K224" s="1">
        <f>'[1]Electricity and CHPs'!G$101</f>
        <v>0.67555009302145841</v>
      </c>
    </row>
    <row r="225" spans="1:11" x14ac:dyDescent="0.35">
      <c r="A225" s="5" t="s">
        <v>5</v>
      </c>
      <c r="B225" s="5" t="str">
        <f t="shared" si="98"/>
        <v>SPS2</v>
      </c>
      <c r="C225" s="5" t="s">
        <v>7</v>
      </c>
      <c r="D225" t="s">
        <v>830</v>
      </c>
      <c r="E225" t="str">
        <f>E173</f>
        <v>PJ/yr.</v>
      </c>
      <c r="F225" s="1">
        <f>+F226</f>
        <v>0</v>
      </c>
      <c r="G225" s="1">
        <f t="shared" ref="G225:K225" si="129">+G226</f>
        <v>0</v>
      </c>
      <c r="H225" s="1">
        <f t="shared" si="129"/>
        <v>0</v>
      </c>
      <c r="I225" s="1">
        <f t="shared" si="129"/>
        <v>2.3251501604268897E-4</v>
      </c>
      <c r="J225" s="1">
        <f t="shared" si="129"/>
        <v>2.2991150239899636E-4</v>
      </c>
      <c r="K225" s="1">
        <f t="shared" si="129"/>
        <v>2.3206238128404974E-4</v>
      </c>
    </row>
    <row r="226" spans="1:11" x14ac:dyDescent="0.35">
      <c r="A226" s="5" t="s">
        <v>5</v>
      </c>
      <c r="B226" s="5" t="str">
        <f t="shared" si="98"/>
        <v>SPS2</v>
      </c>
      <c r="C226" s="5" t="s">
        <v>7</v>
      </c>
      <c r="D226" t="s">
        <v>167</v>
      </c>
      <c r="E226" t="str">
        <f>E174</f>
        <v>PJ/yr.</v>
      </c>
      <c r="F226" s="1">
        <f>'[1]Electricity and CHPs'!B$102</f>
        <v>0</v>
      </c>
      <c r="G226" s="1">
        <f>'[1]Electricity and CHPs'!C$102</f>
        <v>0</v>
      </c>
      <c r="H226" s="1">
        <f>'[1]Electricity and CHPs'!D$102</f>
        <v>0</v>
      </c>
      <c r="I226" s="1">
        <f>'[1]Electricity and CHPs'!E$102</f>
        <v>2.3251501604268897E-4</v>
      </c>
      <c r="J226" s="1">
        <f>'[1]Electricity and CHPs'!F$102</f>
        <v>2.2991150239899636E-4</v>
      </c>
      <c r="K226" s="1">
        <f>'[1]Electricity and CHPs'!G$102</f>
        <v>2.3206238128404974E-4</v>
      </c>
    </row>
    <row r="227" spans="1:11" x14ac:dyDescent="0.35">
      <c r="A227" s="5" t="s">
        <v>5</v>
      </c>
      <c r="B227" s="5" t="str">
        <f t="shared" si="98"/>
        <v>SPS2</v>
      </c>
      <c r="C227" s="5" t="s">
        <v>7</v>
      </c>
      <c r="D227" t="s">
        <v>831</v>
      </c>
      <c r="E227" t="str">
        <f>E174</f>
        <v>PJ/yr.</v>
      </c>
      <c r="F227" s="1">
        <f>+F228</f>
        <v>0</v>
      </c>
      <c r="G227" s="1">
        <f t="shared" ref="G227:K227" si="130">+G228</f>
        <v>0</v>
      </c>
      <c r="H227" s="1">
        <f t="shared" si="130"/>
        <v>0</v>
      </c>
      <c r="I227" s="1">
        <f t="shared" si="130"/>
        <v>0</v>
      </c>
      <c r="J227" s="1">
        <f t="shared" si="130"/>
        <v>5.6174384672336467E-4</v>
      </c>
      <c r="K227" s="1">
        <f t="shared" si="130"/>
        <v>2.5513953069997256E-4</v>
      </c>
    </row>
    <row r="228" spans="1:11" x14ac:dyDescent="0.35">
      <c r="A228" s="5" t="s">
        <v>5</v>
      </c>
      <c r="B228" s="5" t="str">
        <f t="shared" si="98"/>
        <v>SPS2</v>
      </c>
      <c r="C228" s="5" t="s">
        <v>7</v>
      </c>
      <c r="D228" t="s">
        <v>233</v>
      </c>
      <c r="E228" t="str">
        <f>E175</f>
        <v>PJ/yr.</v>
      </c>
      <c r="F228" s="1">
        <f>'[1]Electricity and CHPs'!B$90</f>
        <v>0</v>
      </c>
      <c r="G228" s="1">
        <f>'[1]Electricity and CHPs'!C$90</f>
        <v>0</v>
      </c>
      <c r="H228" s="1">
        <f>'[1]Electricity and CHPs'!D$90</f>
        <v>0</v>
      </c>
      <c r="I228" s="1">
        <f>'[1]Electricity and CHPs'!E$90</f>
        <v>0</v>
      </c>
      <c r="J228" s="1">
        <f>'[1]Electricity and CHPs'!F$90</f>
        <v>5.6174384672336467E-4</v>
      </c>
      <c r="K228" s="1">
        <f>'[1]Electricity and CHPs'!G$90</f>
        <v>2.5513953069997256E-4</v>
      </c>
    </row>
    <row r="229" spans="1:11" x14ac:dyDescent="0.35">
      <c r="A229" s="5" t="s">
        <v>5</v>
      </c>
      <c r="B229" s="5" t="str">
        <f t="shared" si="98"/>
        <v>SPS2</v>
      </c>
      <c r="C229" s="5" t="s">
        <v>7</v>
      </c>
      <c r="D229" t="s">
        <v>832</v>
      </c>
      <c r="E229" t="str">
        <f>E174</f>
        <v>PJ/yr.</v>
      </c>
      <c r="F229" s="1">
        <f>+F230</f>
        <v>0</v>
      </c>
      <c r="G229" s="1">
        <f t="shared" ref="G229:K229" si="131">+G230</f>
        <v>2.855087572532812</v>
      </c>
      <c r="H229" s="1">
        <f t="shared" si="131"/>
        <v>2.9416057348654072</v>
      </c>
      <c r="I229" s="1">
        <f t="shared" si="131"/>
        <v>10.946461772409695</v>
      </c>
      <c r="J229" s="1">
        <f t="shared" si="131"/>
        <v>12.091722023648289</v>
      </c>
      <c r="K229" s="1">
        <f t="shared" si="131"/>
        <v>13.356778055881321</v>
      </c>
    </row>
    <row r="230" spans="1:11" x14ac:dyDescent="0.35">
      <c r="A230" s="5" t="s">
        <v>5</v>
      </c>
      <c r="B230" s="5" t="str">
        <f t="shared" si="98"/>
        <v>SPS2</v>
      </c>
      <c r="C230" s="5" t="s">
        <v>7</v>
      </c>
      <c r="D230" t="s">
        <v>833</v>
      </c>
      <c r="E230" t="str">
        <f>E175</f>
        <v>PJ/yr.</v>
      </c>
      <c r="F230" s="1">
        <f>'[1]Electricity and CHPs'!B$123</f>
        <v>0</v>
      </c>
      <c r="G230" s="1">
        <f>'[1]Electricity and CHPs'!C$123</f>
        <v>2.855087572532812</v>
      </c>
      <c r="H230" s="1">
        <f>'[1]Electricity and CHPs'!D$123</f>
        <v>2.9416057348654072</v>
      </c>
      <c r="I230" s="1">
        <f>'[1]Electricity and CHPs'!E$123</f>
        <v>10.946461772409695</v>
      </c>
      <c r="J230" s="1">
        <f>'[1]Electricity and CHPs'!F$123</f>
        <v>12.091722023648289</v>
      </c>
      <c r="K230" s="1">
        <f>'[1]Electricity and CHPs'!G$123</f>
        <v>13.356778055881321</v>
      </c>
    </row>
    <row r="231" spans="1:11" x14ac:dyDescent="0.35">
      <c r="A231" s="5" t="s">
        <v>5</v>
      </c>
      <c r="B231" s="5" t="str">
        <f t="shared" si="98"/>
        <v>SPS2</v>
      </c>
      <c r="C231" s="5" t="s">
        <v>7</v>
      </c>
      <c r="D231" t="s">
        <v>834</v>
      </c>
      <c r="E231" t="str">
        <f>E169</f>
        <v>PJ/yr.</v>
      </c>
      <c r="F231" s="1">
        <f>SUM(F232,F238,F271,F280,F286)</f>
        <v>6.5946525732156021</v>
      </c>
      <c r="G231" s="1">
        <f t="shared" ref="G231:K231" si="132">SUM(G232,G238,G271,G280,G286)</f>
        <v>8.2340216294160573</v>
      </c>
      <c r="H231" s="1">
        <f t="shared" si="132"/>
        <v>7.6691548671861227</v>
      </c>
      <c r="I231" s="1">
        <f t="shared" si="132"/>
        <v>8.8259137577940017</v>
      </c>
      <c r="J231" s="1">
        <f t="shared" si="132"/>
        <v>9.9295139246499815</v>
      </c>
      <c r="K231" s="1">
        <f t="shared" si="132"/>
        <v>13.614456307673679</v>
      </c>
    </row>
    <row r="232" spans="1:11" x14ac:dyDescent="0.35">
      <c r="A232" s="5" t="s">
        <v>5</v>
      </c>
      <c r="B232" s="5" t="str">
        <f t="shared" si="98"/>
        <v>SPS2</v>
      </c>
      <c r="C232" s="5" t="s">
        <v>7</v>
      </c>
      <c r="D232" t="s">
        <v>835</v>
      </c>
      <c r="E232" t="str">
        <f>E169</f>
        <v>PJ/yr.</v>
      </c>
      <c r="F232" s="1">
        <f>+F233</f>
        <v>0.92963962879335293</v>
      </c>
      <c r="G232" s="1">
        <f t="shared" ref="G232:K232" si="133">+G233</f>
        <v>2.0475195887951205</v>
      </c>
      <c r="H232" s="1">
        <f t="shared" si="133"/>
        <v>0.10363415971910069</v>
      </c>
      <c r="I232" s="1">
        <f t="shared" si="133"/>
        <v>1.3098492239126671</v>
      </c>
      <c r="J232" s="1">
        <f t="shared" si="133"/>
        <v>0</v>
      </c>
      <c r="K232" s="1">
        <f t="shared" si="133"/>
        <v>0</v>
      </c>
    </row>
    <row r="233" spans="1:11" x14ac:dyDescent="0.35">
      <c r="A233" s="5" t="s">
        <v>5</v>
      </c>
      <c r="B233" s="5" t="str">
        <f t="shared" si="98"/>
        <v>SPS2</v>
      </c>
      <c r="C233" s="5" t="s">
        <v>7</v>
      </c>
      <c r="D233" t="s">
        <v>168</v>
      </c>
      <c r="E233" t="str">
        <f>E170</f>
        <v>PJ/yr.</v>
      </c>
      <c r="F233" s="1">
        <f>'[1]Electricity and CHPs'!B$104</f>
        <v>0.92963962879335293</v>
      </c>
      <c r="G233" s="1">
        <f>'[1]Electricity and CHPs'!C$104</f>
        <v>2.0475195887951205</v>
      </c>
      <c r="H233" s="1">
        <f>'[1]Electricity and CHPs'!D$104</f>
        <v>0.10363415971910069</v>
      </c>
      <c r="I233" s="1">
        <f>'[1]Electricity and CHPs'!E$104</f>
        <v>1.3098492239126671</v>
      </c>
      <c r="J233" s="1">
        <f>'[1]Electricity and CHPs'!F$104</f>
        <v>0</v>
      </c>
      <c r="K233" s="1">
        <f>'[1]Electricity and CHPs'!G$104</f>
        <v>0</v>
      </c>
    </row>
    <row r="234" spans="1:11" x14ac:dyDescent="0.35">
      <c r="A234" s="5"/>
      <c r="B234" s="5" t="str">
        <f t="shared" si="98"/>
        <v>SPS2</v>
      </c>
      <c r="C234" s="5" t="s">
        <v>7</v>
      </c>
      <c r="D234" t="s">
        <v>836</v>
      </c>
      <c r="E234" t="str">
        <f>E169</f>
        <v>PJ/yr.</v>
      </c>
      <c r="F234" s="1">
        <f>F235</f>
        <v>0.92963962879335293</v>
      </c>
      <c r="G234" s="1">
        <f t="shared" ref="G234:K234" si="134">G235</f>
        <v>2.0475195887951205</v>
      </c>
      <c r="H234" s="1">
        <f t="shared" si="134"/>
        <v>0.10363415971910069</v>
      </c>
      <c r="I234" s="1">
        <f t="shared" si="134"/>
        <v>1.3098492239126671</v>
      </c>
      <c r="J234" s="1">
        <f t="shared" si="134"/>
        <v>0</v>
      </c>
      <c r="K234" s="1">
        <f t="shared" si="134"/>
        <v>0</v>
      </c>
    </row>
    <row r="235" spans="1:11" x14ac:dyDescent="0.35">
      <c r="A235" s="5" t="s">
        <v>5</v>
      </c>
      <c r="B235" s="5" t="str">
        <f t="shared" si="98"/>
        <v>SPS2</v>
      </c>
      <c r="C235" s="5" t="s">
        <v>7</v>
      </c>
      <c r="D235" t="s">
        <v>519</v>
      </c>
      <c r="E235" t="str">
        <f>E170</f>
        <v>PJ/yr.</v>
      </c>
      <c r="F235" s="1">
        <f>F233-F237</f>
        <v>0.92963962879335293</v>
      </c>
      <c r="G235" s="1">
        <f t="shared" ref="G235:K235" si="135">G233-G237</f>
        <v>2.0475195887951205</v>
      </c>
      <c r="H235" s="1">
        <f t="shared" si="135"/>
        <v>0.10363415971910069</v>
      </c>
      <c r="I235" s="1">
        <f t="shared" si="135"/>
        <v>1.3098492239126671</v>
      </c>
      <c r="J235" s="1">
        <f t="shared" si="135"/>
        <v>0</v>
      </c>
      <c r="K235" s="1">
        <f t="shared" si="135"/>
        <v>0</v>
      </c>
    </row>
    <row r="236" spans="1:11" x14ac:dyDescent="0.35">
      <c r="A236" s="5"/>
      <c r="B236" s="5" t="str">
        <f t="shared" si="98"/>
        <v>SPS2</v>
      </c>
      <c r="C236" s="5" t="s">
        <v>7</v>
      </c>
      <c r="D236" t="s">
        <v>837</v>
      </c>
      <c r="E236" t="str">
        <f>E170</f>
        <v>PJ/yr.</v>
      </c>
      <c r="F236" s="1">
        <f>F237</f>
        <v>0</v>
      </c>
      <c r="G236" s="1">
        <f t="shared" ref="G236:K236" si="136">G237</f>
        <v>0</v>
      </c>
      <c r="H236" s="1">
        <f t="shared" si="136"/>
        <v>0</v>
      </c>
      <c r="I236" s="1">
        <f t="shared" si="136"/>
        <v>0</v>
      </c>
      <c r="J236" s="1">
        <f t="shared" si="136"/>
        <v>0</v>
      </c>
      <c r="K236" s="1">
        <f t="shared" si="136"/>
        <v>0</v>
      </c>
    </row>
    <row r="237" spans="1:11" x14ac:dyDescent="0.35">
      <c r="A237" s="5" t="s">
        <v>5</v>
      </c>
      <c r="B237" s="5" t="str">
        <f t="shared" si="98"/>
        <v>SPS2</v>
      </c>
      <c r="C237" s="5" t="s">
        <v>7</v>
      </c>
      <c r="D237" t="s">
        <v>543</v>
      </c>
      <c r="E237" t="str">
        <f>E171</f>
        <v>PJ/yr.</v>
      </c>
      <c r="F237" s="1">
        <f t="shared" ref="F237:K237" si="137">F233*IFERROR(F79/F75,0)</f>
        <v>0</v>
      </c>
      <c r="G237" s="1">
        <f t="shared" si="137"/>
        <v>0</v>
      </c>
      <c r="H237" s="1">
        <f t="shared" si="137"/>
        <v>0</v>
      </c>
      <c r="I237" s="1">
        <f t="shared" si="137"/>
        <v>0</v>
      </c>
      <c r="J237" s="1">
        <f t="shared" si="137"/>
        <v>0</v>
      </c>
      <c r="K237" s="1">
        <f t="shared" si="137"/>
        <v>0</v>
      </c>
    </row>
    <row r="238" spans="1:11" x14ac:dyDescent="0.35">
      <c r="A238" s="5" t="s">
        <v>5</v>
      </c>
      <c r="B238" s="5" t="str">
        <f t="shared" si="98"/>
        <v>SPS2</v>
      </c>
      <c r="C238" s="5" t="s">
        <v>7</v>
      </c>
      <c r="D238" t="s">
        <v>838</v>
      </c>
      <c r="E238" t="str">
        <f>E171</f>
        <v>PJ/yr.</v>
      </c>
      <c r="F238" s="1">
        <f>SUM(F239:F248)</f>
        <v>3.0658325270784292</v>
      </c>
      <c r="G238" s="1">
        <f t="shared" ref="G238:K238" si="138">SUM(G239:G248)</f>
        <v>2.4533646159649938</v>
      </c>
      <c r="H238" s="1">
        <f t="shared" si="138"/>
        <v>1.6801395479532701</v>
      </c>
      <c r="I238" s="1">
        <f t="shared" si="138"/>
        <v>1.3847201608906388</v>
      </c>
      <c r="J238" s="1">
        <f t="shared" si="138"/>
        <v>1.8048303003341299</v>
      </c>
      <c r="K238" s="1">
        <f t="shared" si="138"/>
        <v>1.7486360882156906</v>
      </c>
    </row>
    <row r="239" spans="1:11" x14ac:dyDescent="0.35">
      <c r="A239" s="5" t="s">
        <v>5</v>
      </c>
      <c r="B239" s="5" t="str">
        <f t="shared" si="98"/>
        <v>SPS2</v>
      </c>
      <c r="C239" s="5" t="s">
        <v>7</v>
      </c>
      <c r="D239" t="s">
        <v>169</v>
      </c>
      <c r="E239" t="str">
        <f>E172</f>
        <v>PJ/yr.</v>
      </c>
      <c r="F239" s="1">
        <f>'[1]Electricity and CHPs_IN'!B$39*0.75-F86-F240</f>
        <v>0.78317709393124468</v>
      </c>
      <c r="G239" s="1">
        <f>'[1]Electricity and CHPs_IN'!C$39*0.75-G86-G240</f>
        <v>9.1841253735400086E-2</v>
      </c>
      <c r="H239" s="1">
        <f>'[1]Electricity and CHPs_IN'!D$39*0.75-H86-H240</f>
        <v>6.3888900812052812E-2</v>
      </c>
      <c r="I239" s="1">
        <f>'[1]Electricity and CHPs_IN'!E$39*0.75-I86-I240</f>
        <v>2.7109695917210453E-2</v>
      </c>
      <c r="J239" s="1">
        <f>'[1]Electricity and CHPs'!F$103-J240</f>
        <v>0.74619012189709255</v>
      </c>
      <c r="K239" s="1">
        <f>'[1]Electricity and CHPs'!G$103-K240</f>
        <v>0.46830857685481686</v>
      </c>
    </row>
    <row r="240" spans="1:11" x14ac:dyDescent="0.35">
      <c r="A240" s="5" t="s">
        <v>5</v>
      </c>
      <c r="B240" s="5" t="str">
        <f t="shared" si="98"/>
        <v>SPS2</v>
      </c>
      <c r="C240" s="5" t="s">
        <v>7</v>
      </c>
      <c r="D240" t="s">
        <v>170</v>
      </c>
      <c r="E240" t="str">
        <f>E173</f>
        <v>PJ/yr.</v>
      </c>
      <c r="F240" s="1" cm="1">
        <f t="array" ref="F240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0" s="1" cm="1">
        <f t="array" ref="G240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0" s="1" cm="1">
        <f t="array" ref="H240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0" s="1" cm="1">
        <f t="array" ref="I240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0" s="1" cm="1">
        <f t="array" ref="J240">SUMPRODUCT((ISNUMBER(SEARCH("ITOT-CHPNGACCS",[1]OUT_Electricity_CHP!$B$1:$B$10000)))*1,([1]OUT_Electricity_CHP!$C$1:$C$10000="Var_Fout")*1,([1]OUT_Electricity_CHP!$D$1:$D$10000="ITOT_LTH_CHP")*1,[1]OUT_Electricity_CHP!I$1:I$10000)</f>
        <v>2.8043529536694364E-3</v>
      </c>
      <c r="K240" s="1" cm="1">
        <f t="array" ref="K240">SUMPRODUCT((ISNUMBER(SEARCH("ITOT-CHPNGACCS",[1]OUT_Electricity_CHP!$B$1:$B$10000)))*1,([1]OUT_Electricity_CHP!$C$1:$C$10000="Var_Fout")*1,([1]OUT_Electricity_CHP!$D$1:$D$10000="ITOT_LTH_CHP")*1,[1]OUT_Electricity_CHP!J$1:J$10000)</f>
        <v>0.27083990347838416</v>
      </c>
    </row>
    <row r="241" spans="1:11" x14ac:dyDescent="0.35">
      <c r="A241" s="5" t="s">
        <v>5</v>
      </c>
      <c r="B241" s="5" t="str">
        <f t="shared" si="98"/>
        <v>SPS2</v>
      </c>
      <c r="C241" s="5" t="s">
        <v>7</v>
      </c>
      <c r="D241" t="s">
        <v>171</v>
      </c>
      <c r="E241" t="str">
        <f>E174</f>
        <v>PJ/yr.</v>
      </c>
      <c r="F241" s="1">
        <f>'[1]Electricity and CHPs'!B$107</f>
        <v>0</v>
      </c>
      <c r="G241" s="1">
        <f>'[1]Electricity and CHPs'!C$107</f>
        <v>0</v>
      </c>
      <c r="H241" s="1">
        <f>'[1]Electricity and CHPs'!D$107</f>
        <v>0</v>
      </c>
      <c r="I241" s="1">
        <f>'[1]Electricity and CHPs'!E$107</f>
        <v>0</v>
      </c>
      <c r="J241" s="1">
        <f>'[1]Electricity and CHPs'!F$107</f>
        <v>3.918148791547644E-3</v>
      </c>
      <c r="K241" s="1">
        <f>'[1]Electricity and CHPs'!G$107</f>
        <v>5.2022878159304405E-4</v>
      </c>
    </row>
    <row r="242" spans="1:11" x14ac:dyDescent="0.35">
      <c r="A242" s="5" t="s">
        <v>5</v>
      </c>
      <c r="B242" s="5" t="str">
        <f t="shared" si="98"/>
        <v>SPS2</v>
      </c>
      <c r="C242" s="5" t="s">
        <v>7</v>
      </c>
      <c r="D242" t="s">
        <v>172</v>
      </c>
      <c r="E242" t="str">
        <f>E197</f>
        <v>PJ/yr.</v>
      </c>
      <c r="F242" s="1">
        <f>'[1]Electricity and CHPs'!B$109</f>
        <v>6.9480711136806705E-2</v>
      </c>
      <c r="G242" s="1">
        <f>'[1]Electricity and CHPs'!C$109</f>
        <v>1.4081063896273595E-2</v>
      </c>
      <c r="H242" s="1">
        <f>'[1]Electricity and CHPs'!D$109</f>
        <v>4.7397276074401147E-2</v>
      </c>
      <c r="I242" s="1">
        <f>'[1]Electricity and CHPs'!E$109</f>
        <v>1.2602334939685635E-2</v>
      </c>
      <c r="J242" s="1">
        <f>'[1]Electricity and CHPs'!F$109</f>
        <v>1.3406547414009203E-2</v>
      </c>
      <c r="K242" s="1">
        <f>'[1]Electricity and CHPs'!G$109</f>
        <v>1.4030749945461844E-3</v>
      </c>
    </row>
    <row r="243" spans="1:11" x14ac:dyDescent="0.35">
      <c r="A243" s="5" t="s">
        <v>5</v>
      </c>
      <c r="B243" s="5" t="str">
        <f t="shared" si="98"/>
        <v>SPS2</v>
      </c>
      <c r="C243" s="5" t="s">
        <v>7</v>
      </c>
      <c r="D243" t="s">
        <v>173</v>
      </c>
      <c r="E243" t="str">
        <f>E199</f>
        <v>PJ/yr.</v>
      </c>
      <c r="F243" s="1">
        <f>'[1]Electricity and CHPs'!B$111</f>
        <v>0</v>
      </c>
      <c r="G243" s="1">
        <f>'[1]Electricity and CHPs'!C$111</f>
        <v>0</v>
      </c>
      <c r="H243" s="1">
        <f>'[1]Electricity and CHPs'!D$111</f>
        <v>0</v>
      </c>
      <c r="I243" s="1">
        <f>'[1]Electricity and CHPs'!E$111</f>
        <v>0</v>
      </c>
      <c r="J243" s="1">
        <f>'[1]Electricity and CHPs'!F$111</f>
        <v>0</v>
      </c>
      <c r="K243" s="1">
        <f>'[1]Electricity and CHPs'!G$111</f>
        <v>0</v>
      </c>
    </row>
    <row r="244" spans="1:11" x14ac:dyDescent="0.35">
      <c r="A244" s="5" t="s">
        <v>5</v>
      </c>
      <c r="B244" s="5" t="str">
        <f t="shared" ref="B244:B307" si="139">B243</f>
        <v>SPS2</v>
      </c>
      <c r="C244" s="5" t="s">
        <v>7</v>
      </c>
      <c r="D244" t="s">
        <v>174</v>
      </c>
      <c r="E244" t="str">
        <f>E200</f>
        <v>PJ/yr.</v>
      </c>
      <c r="F244" s="1">
        <f>'[1]Electricity and CHPs'!B$112</f>
        <v>9.6200773495641365E-2</v>
      </c>
      <c r="G244" s="1">
        <f>'[1]Electricity and CHPs'!C$112</f>
        <v>1.842606121466471E-2</v>
      </c>
      <c r="H244" s="1">
        <f>'[1]Electricity and CHPs'!D$112</f>
        <v>7.2567112626656674E-2</v>
      </c>
      <c r="I244" s="1">
        <f>'[1]Electricity and CHPs'!E$112</f>
        <v>1.8252393087384522E-2</v>
      </c>
      <c r="J244" s="1">
        <f>'[1]Electricity and CHPs'!F$112</f>
        <v>2.9775887894600481E-2</v>
      </c>
      <c r="K244" s="1">
        <f>'[1]Electricity and CHPs'!G$112</f>
        <v>1.5254375272566961E-3</v>
      </c>
    </row>
    <row r="245" spans="1:11" x14ac:dyDescent="0.35">
      <c r="A245" s="5" t="s">
        <v>5</v>
      </c>
      <c r="B245" s="5" t="str">
        <f t="shared" si="139"/>
        <v>SPS2</v>
      </c>
      <c r="C245" s="5" t="s">
        <v>7</v>
      </c>
      <c r="D245" t="s">
        <v>175</v>
      </c>
      <c r="E245" t="str">
        <f>E202</f>
        <v>PJ/yr.</v>
      </c>
      <c r="F245" s="1">
        <f>'[1]Electricity and CHPs'!B$114</f>
        <v>0</v>
      </c>
      <c r="G245" s="1">
        <f>'[1]Electricity and CHPs'!C$114</f>
        <v>0</v>
      </c>
      <c r="H245" s="1">
        <f>'[1]Electricity and CHPs'!D$114</f>
        <v>0</v>
      </c>
      <c r="I245" s="1">
        <f>'[1]Electricity and CHPs'!E$114</f>
        <v>0</v>
      </c>
      <c r="J245" s="1">
        <f>'[1]Electricity and CHPs'!F$114</f>
        <v>0</v>
      </c>
      <c r="K245" s="1">
        <f>'[1]Electricity and CHPs'!G$114</f>
        <v>0</v>
      </c>
    </row>
    <row r="246" spans="1:11" x14ac:dyDescent="0.35">
      <c r="A246" s="5" t="s">
        <v>5</v>
      </c>
      <c r="B246" s="5" t="str">
        <f t="shared" si="139"/>
        <v>SPS2</v>
      </c>
      <c r="C246" s="5" t="s">
        <v>7</v>
      </c>
      <c r="D246" t="s">
        <v>176</v>
      </c>
      <c r="E246" t="str">
        <f>E226</f>
        <v>PJ/yr.</v>
      </c>
      <c r="F246" s="1">
        <f>'[1]Electricity and CHPs'!B$115</f>
        <v>1.4243540298057575</v>
      </c>
      <c r="G246" s="1">
        <f>'[1]Electricity and CHPs'!C$115</f>
        <v>1.5785045175867487</v>
      </c>
      <c r="H246" s="1">
        <f>'[1]Electricity and CHPs'!D$115</f>
        <v>1.4830819010325693</v>
      </c>
      <c r="I246" s="1">
        <f>'[1]Electricity and CHPs'!E$115</f>
        <v>1.3240646587309111</v>
      </c>
      <c r="J246" s="1">
        <f>'[1]Electricity and CHPs'!F$115</f>
        <v>1.0060404408759995</v>
      </c>
      <c r="K246" s="1">
        <f>'[1]Electricity and CHPs'!G$115</f>
        <v>1.0060388665790938</v>
      </c>
    </row>
    <row r="247" spans="1:11" x14ac:dyDescent="0.35">
      <c r="A247" s="5" t="s">
        <v>5</v>
      </c>
      <c r="B247" s="5" t="str">
        <f t="shared" si="139"/>
        <v>SPS2</v>
      </c>
      <c r="C247" s="5" t="s">
        <v>7</v>
      </c>
      <c r="D247" t="s">
        <v>177</v>
      </c>
      <c r="E247" t="str">
        <f>E228</f>
        <v>PJ/yr.</v>
      </c>
      <c r="F247" s="1">
        <f>'[1]Electricity and CHPs'!B$116</f>
        <v>0.69261991870897899</v>
      </c>
      <c r="G247" s="1">
        <f>'[1]Electricity and CHPs'!C$116</f>
        <v>0.75051171953190676</v>
      </c>
      <c r="H247" s="1">
        <f>'[1]Electricity and CHPs'!D$116</f>
        <v>1.3204357407590123E-2</v>
      </c>
      <c r="I247" s="1">
        <f>'[1]Electricity and CHPs'!E$116</f>
        <v>2.6910782154470109E-3</v>
      </c>
      <c r="J247" s="1">
        <f>'[1]Electricity and CHPs'!F$116</f>
        <v>2.6948005072112524E-3</v>
      </c>
      <c r="K247" s="1">
        <f>'[1]Electricity and CHPs'!G$116</f>
        <v>0</v>
      </c>
    </row>
    <row r="248" spans="1:11" x14ac:dyDescent="0.35">
      <c r="A248" s="5" t="s">
        <v>5</v>
      </c>
      <c r="B248" s="5" t="str">
        <f t="shared" si="139"/>
        <v>SPS2</v>
      </c>
      <c r="C248" s="5" t="s">
        <v>7</v>
      </c>
      <c r="D248" t="s">
        <v>178</v>
      </c>
      <c r="E248" t="str">
        <f>E230</f>
        <v>PJ/yr.</v>
      </c>
      <c r="F248" s="1">
        <f>'[1]Electricity and CHPs'!B$118</f>
        <v>0</v>
      </c>
      <c r="G248" s="1">
        <f>'[1]Electricity and CHPs'!C$118</f>
        <v>0</v>
      </c>
      <c r="H248" s="1">
        <f>'[1]Electricity and CHPs'!D$118</f>
        <v>0</v>
      </c>
      <c r="I248" s="1">
        <f>'[1]Electricity and CHPs'!E$118</f>
        <v>0</v>
      </c>
      <c r="J248" s="1">
        <f>'[1]Electricity and CHPs'!F$118</f>
        <v>0</v>
      </c>
      <c r="K248" s="1">
        <f>'[1]Electricity and CHPs'!G$118</f>
        <v>0</v>
      </c>
    </row>
    <row r="249" spans="1:11" x14ac:dyDescent="0.35">
      <c r="A249" s="5" t="s">
        <v>5</v>
      </c>
      <c r="B249" s="5" t="str">
        <f t="shared" si="139"/>
        <v>SPS2</v>
      </c>
      <c r="C249" s="5" t="s">
        <v>7</v>
      </c>
      <c r="D249" t="s">
        <v>839</v>
      </c>
      <c r="E249" t="str">
        <f>E172</f>
        <v>PJ/yr.</v>
      </c>
      <c r="F249" s="1">
        <f>SUM(F250:F259)</f>
        <v>1.5993122279996648</v>
      </c>
      <c r="G249" s="1">
        <f t="shared" ref="G249:K249" si="140">SUM(G250:G259)</f>
        <v>0.85738235423911946</v>
      </c>
      <c r="H249" s="1">
        <f t="shared" si="140"/>
        <v>0.19337045079998361</v>
      </c>
      <c r="I249" s="1">
        <f t="shared" si="140"/>
        <v>5.5753783290040271E-2</v>
      </c>
      <c r="J249" s="1">
        <f t="shared" si="140"/>
        <v>0.47598848675370137</v>
      </c>
      <c r="K249" s="1">
        <f t="shared" si="140"/>
        <v>0.28635183607969916</v>
      </c>
    </row>
    <row r="250" spans="1:11" x14ac:dyDescent="0.35">
      <c r="A250" s="5" t="s">
        <v>5</v>
      </c>
      <c r="B250" s="5" t="str">
        <f t="shared" si="139"/>
        <v>SPS2</v>
      </c>
      <c r="C250" s="5" t="s">
        <v>7</v>
      </c>
      <c r="D250" t="s">
        <v>569</v>
      </c>
      <c r="E250" t="str">
        <f>E172</f>
        <v>PJ/yr.</v>
      </c>
      <c r="F250" s="1">
        <f t="shared" ref="F250:K252" si="141">F239-F261</f>
        <v>0.76305885522996109</v>
      </c>
      <c r="G250" s="1">
        <f t="shared" si="141"/>
        <v>9.000647130883907E-2</v>
      </c>
      <c r="H250" s="1">
        <f t="shared" si="141"/>
        <v>6.269345921964467E-2</v>
      </c>
      <c r="I250" s="1">
        <f t="shared" si="141"/>
        <v>2.4918895358360157E-2</v>
      </c>
      <c r="J250" s="1">
        <f t="shared" si="141"/>
        <v>0.44464498734785712</v>
      </c>
      <c r="K250" s="1">
        <f t="shared" si="141"/>
        <v>0.17944462387993426</v>
      </c>
    </row>
    <row r="251" spans="1:11" x14ac:dyDescent="0.35">
      <c r="A251" s="5" t="s">
        <v>5</v>
      </c>
      <c r="B251" s="5" t="str">
        <f t="shared" si="139"/>
        <v>SPS2</v>
      </c>
      <c r="C251" s="5" t="s">
        <v>7</v>
      </c>
      <c r="D251" t="s">
        <v>570</v>
      </c>
      <c r="E251" t="str">
        <f>E173</f>
        <v>PJ/yr.</v>
      </c>
      <c r="F251" s="1">
        <f t="shared" si="141"/>
        <v>0</v>
      </c>
      <c r="G251" s="1">
        <f t="shared" si="141"/>
        <v>0</v>
      </c>
      <c r="H251" s="1">
        <f t="shared" si="141"/>
        <v>0</v>
      </c>
      <c r="I251" s="1">
        <f t="shared" si="141"/>
        <v>0</v>
      </c>
      <c r="J251" s="1">
        <f t="shared" si="141"/>
        <v>1.671077446633954E-3</v>
      </c>
      <c r="K251" s="1">
        <f t="shared" si="141"/>
        <v>0.10377936047586708</v>
      </c>
    </row>
    <row r="252" spans="1:11" x14ac:dyDescent="0.35">
      <c r="A252" s="5" t="s">
        <v>5</v>
      </c>
      <c r="B252" s="5" t="str">
        <f t="shared" si="139"/>
        <v>SPS2</v>
      </c>
      <c r="C252" s="5" t="s">
        <v>7</v>
      </c>
      <c r="D252" t="s">
        <v>571</v>
      </c>
      <c r="E252" t="str">
        <f>E174</f>
        <v>PJ/yr.</v>
      </c>
      <c r="F252" s="1">
        <f t="shared" si="141"/>
        <v>0</v>
      </c>
      <c r="G252" s="1">
        <f t="shared" si="141"/>
        <v>0</v>
      </c>
      <c r="H252" s="1">
        <f t="shared" si="141"/>
        <v>0</v>
      </c>
      <c r="I252" s="1">
        <f t="shared" si="141"/>
        <v>0</v>
      </c>
      <c r="J252" s="1">
        <f t="shared" si="141"/>
        <v>2.33477389839394E-3</v>
      </c>
      <c r="K252" s="1">
        <f t="shared" si="141"/>
        <v>1.993392020949916E-4</v>
      </c>
    </row>
    <row r="253" spans="1:11" x14ac:dyDescent="0.35">
      <c r="A253" s="5" t="s">
        <v>5</v>
      </c>
      <c r="B253" s="5" t="str">
        <f t="shared" si="139"/>
        <v>SPS2</v>
      </c>
      <c r="C253" s="5" t="s">
        <v>7</v>
      </c>
      <c r="D253" t="s">
        <v>572</v>
      </c>
      <c r="E253" t="str">
        <f>E197</f>
        <v>PJ/yr.</v>
      </c>
      <c r="F253" s="1">
        <f>F242-F264</f>
        <v>6.769589191441519E-2</v>
      </c>
      <c r="G253" s="1">
        <f t="shared" ref="G253:K253" si="142">G242-G264</f>
        <v>1.3799755796336287E-2</v>
      </c>
      <c r="H253" s="1">
        <f t="shared" si="142"/>
        <v>4.651041349786577E-2</v>
      </c>
      <c r="I253" s="1">
        <f t="shared" si="142"/>
        <v>1.1583909557379729E-2</v>
      </c>
      <c r="J253" s="1">
        <f t="shared" si="142"/>
        <v>7.9887872143430422E-3</v>
      </c>
      <c r="K253" s="1">
        <f t="shared" si="142"/>
        <v>1.4030749945461844E-3</v>
      </c>
    </row>
    <row r="254" spans="1:11" x14ac:dyDescent="0.35">
      <c r="A254" s="5" t="s">
        <v>5</v>
      </c>
      <c r="B254" s="5" t="str">
        <f t="shared" si="139"/>
        <v>SPS2</v>
      </c>
      <c r="C254" s="5" t="s">
        <v>7</v>
      </c>
      <c r="D254" t="s">
        <v>573</v>
      </c>
      <c r="E254" t="str">
        <f>E199</f>
        <v>PJ/yr.</v>
      </c>
      <c r="F254" s="1">
        <f t="shared" ref="F254:K254" si="143">F243-F265</f>
        <v>0</v>
      </c>
      <c r="G254" s="1">
        <f t="shared" si="143"/>
        <v>0</v>
      </c>
      <c r="H254" s="1">
        <f t="shared" si="143"/>
        <v>0</v>
      </c>
      <c r="I254" s="1">
        <f t="shared" si="143"/>
        <v>0</v>
      </c>
      <c r="J254" s="1">
        <f t="shared" si="143"/>
        <v>0</v>
      </c>
      <c r="K254" s="1">
        <f t="shared" si="143"/>
        <v>0</v>
      </c>
    </row>
    <row r="255" spans="1:11" x14ac:dyDescent="0.35">
      <c r="A255" s="5" t="s">
        <v>5</v>
      </c>
      <c r="B255" s="5" t="str">
        <f t="shared" si="139"/>
        <v>SPS2</v>
      </c>
      <c r="C255" s="5" t="s">
        <v>7</v>
      </c>
      <c r="D255" t="s">
        <v>574</v>
      </c>
      <c r="E255" t="str">
        <f>E201</f>
        <v>PJ/yr.</v>
      </c>
      <c r="F255" s="1">
        <f t="shared" ref="F255:K255" si="144">F244-F266</f>
        <v>9.3729569805657886E-2</v>
      </c>
      <c r="G255" s="1">
        <f t="shared" si="144"/>
        <v>1.8057949805767717E-2</v>
      </c>
      <c r="H255" s="1">
        <f t="shared" si="144"/>
        <v>7.1209290789494839E-2</v>
      </c>
      <c r="I255" s="1">
        <f t="shared" si="144"/>
        <v>1.6777372744171765E-2</v>
      </c>
      <c r="J255" s="1">
        <f t="shared" si="144"/>
        <v>1.7743064277647644E-2</v>
      </c>
      <c r="K255" s="1">
        <f t="shared" si="144"/>
        <v>1.5254375272566961E-3</v>
      </c>
    </row>
    <row r="256" spans="1:11" x14ac:dyDescent="0.35">
      <c r="A256" s="5" t="s">
        <v>5</v>
      </c>
      <c r="B256" s="5" t="str">
        <f t="shared" si="139"/>
        <v>SPS2</v>
      </c>
      <c r="C256" s="5" t="s">
        <v>7</v>
      </c>
      <c r="D256" t="s">
        <v>575</v>
      </c>
      <c r="E256" t="str">
        <f>E202</f>
        <v>PJ/yr.</v>
      </c>
      <c r="F256" s="1">
        <f t="shared" ref="F256:K257" si="145">F245-F267</f>
        <v>0</v>
      </c>
      <c r="G256" s="1">
        <f t="shared" si="145"/>
        <v>0</v>
      </c>
      <c r="H256" s="1">
        <f t="shared" si="145"/>
        <v>0</v>
      </c>
      <c r="I256" s="1">
        <f t="shared" si="145"/>
        <v>0</v>
      </c>
      <c r="J256" s="1">
        <f t="shared" si="145"/>
        <v>0</v>
      </c>
      <c r="K256" s="1">
        <f t="shared" si="145"/>
        <v>0</v>
      </c>
    </row>
    <row r="257" spans="1:18" x14ac:dyDescent="0.35">
      <c r="A257" s="5" t="s">
        <v>5</v>
      </c>
      <c r="B257" s="5" t="str">
        <f t="shared" si="139"/>
        <v>SPS2</v>
      </c>
      <c r="C257" s="5" t="s">
        <v>7</v>
      </c>
      <c r="D257" t="s">
        <v>576</v>
      </c>
      <c r="E257" t="str">
        <f>E239</f>
        <v>PJ/yr.</v>
      </c>
      <c r="F257" s="1">
        <f t="shared" si="145"/>
        <v>0</v>
      </c>
      <c r="G257" s="1">
        <f t="shared" ref="G257:K257" si="146">G246-G268</f>
        <v>0</v>
      </c>
      <c r="H257" s="1">
        <f t="shared" si="146"/>
        <v>0</v>
      </c>
      <c r="I257" s="1">
        <f t="shared" si="146"/>
        <v>0</v>
      </c>
      <c r="J257" s="1">
        <f t="shared" si="146"/>
        <v>0</v>
      </c>
      <c r="K257" s="1">
        <f t="shared" si="146"/>
        <v>0</v>
      </c>
    </row>
    <row r="258" spans="1:18" x14ac:dyDescent="0.35">
      <c r="A258" s="5" t="s">
        <v>5</v>
      </c>
      <c r="B258" s="5" t="str">
        <f t="shared" si="139"/>
        <v>SPS2</v>
      </c>
      <c r="C258" s="5" t="s">
        <v>7</v>
      </c>
      <c r="D258" t="s">
        <v>577</v>
      </c>
      <c r="E258" t="str">
        <f>E241</f>
        <v>PJ/yr.</v>
      </c>
      <c r="F258" s="1">
        <f t="shared" ref="F258:K258" si="147">F247-F269</f>
        <v>0.67482791104963058</v>
      </c>
      <c r="G258" s="1">
        <f t="shared" si="147"/>
        <v>0.73551817732817637</v>
      </c>
      <c r="H258" s="1">
        <f t="shared" si="147"/>
        <v>1.2957287292978324E-2</v>
      </c>
      <c r="I258" s="1">
        <f t="shared" si="147"/>
        <v>2.4736056301286205E-3</v>
      </c>
      <c r="J258" s="1">
        <f t="shared" si="147"/>
        <v>1.6057965688256522E-3</v>
      </c>
      <c r="K258" s="1">
        <f t="shared" si="147"/>
        <v>0</v>
      </c>
    </row>
    <row r="259" spans="1:18" x14ac:dyDescent="0.35">
      <c r="A259" s="5" t="s">
        <v>5</v>
      </c>
      <c r="B259" s="5" t="str">
        <f t="shared" si="139"/>
        <v>SPS2</v>
      </c>
      <c r="C259" s="5" t="s">
        <v>7</v>
      </c>
      <c r="D259" t="s">
        <v>578</v>
      </c>
      <c r="E259" t="str">
        <f>E243</f>
        <v>PJ/yr.</v>
      </c>
      <c r="F259" s="1">
        <f t="shared" ref="F259:K259" si="148">F248-F270</f>
        <v>0</v>
      </c>
      <c r="G259" s="1">
        <f t="shared" si="148"/>
        <v>0</v>
      </c>
      <c r="H259" s="1">
        <f t="shared" si="148"/>
        <v>0</v>
      </c>
      <c r="I259" s="1">
        <f t="shared" si="148"/>
        <v>0</v>
      </c>
      <c r="J259" s="1">
        <f t="shared" si="148"/>
        <v>0</v>
      </c>
      <c r="K259" s="1">
        <f t="shared" si="148"/>
        <v>0</v>
      </c>
    </row>
    <row r="260" spans="1:18" x14ac:dyDescent="0.35">
      <c r="A260" s="5" t="s">
        <v>5</v>
      </c>
      <c r="B260" s="5" t="str">
        <f t="shared" si="139"/>
        <v>SPS2</v>
      </c>
      <c r="C260" s="5" t="s">
        <v>7</v>
      </c>
      <c r="D260" t="s">
        <v>840</v>
      </c>
      <c r="E260" t="str">
        <f>E173</f>
        <v>PJ/yr.</v>
      </c>
      <c r="F260" s="1">
        <f>SUM(F261:F270)</f>
        <v>1.4665202990787645</v>
      </c>
      <c r="G260" s="1">
        <f t="shared" ref="G260:K260" si="149">SUM(G261:G270)</f>
        <v>1.5959822617258743</v>
      </c>
      <c r="H260" s="1">
        <f t="shared" si="149"/>
        <v>1.4867690971532865</v>
      </c>
      <c r="I260" s="1">
        <f t="shared" si="149"/>
        <v>1.3289663776005984</v>
      </c>
      <c r="J260" s="1">
        <f t="shared" si="149"/>
        <v>1.3288418135804285</v>
      </c>
      <c r="K260" s="1">
        <f t="shared" si="149"/>
        <v>1.4622842521359916</v>
      </c>
      <c r="M260" s="1"/>
      <c r="N260" s="1"/>
      <c r="O260" s="1"/>
      <c r="P260" s="1"/>
      <c r="Q260" s="1"/>
      <c r="R260" s="1"/>
    </row>
    <row r="261" spans="1:18" x14ac:dyDescent="0.35">
      <c r="A261" s="5" t="s">
        <v>5</v>
      </c>
      <c r="B261" s="5" t="str">
        <f t="shared" si="139"/>
        <v>SPS2</v>
      </c>
      <c r="C261" s="5" t="s">
        <v>7</v>
      </c>
      <c r="D261" t="s">
        <v>630</v>
      </c>
      <c r="E261" t="str">
        <f>E175</f>
        <v>PJ/yr.</v>
      </c>
      <c r="F261" s="1">
        <f t="shared" ref="F261:K270" si="150">F239*IFERROR(F118/F86,0)</f>
        <v>2.0118238701283622E-2</v>
      </c>
      <c r="G261" s="1">
        <f t="shared" si="150"/>
        <v>1.8347824265610166E-3</v>
      </c>
      <c r="H261" s="1">
        <f t="shared" si="150"/>
        <v>1.1954415924081425E-3</v>
      </c>
      <c r="I261" s="1">
        <f t="shared" si="150"/>
        <v>2.1908005588502969E-3</v>
      </c>
      <c r="J261" s="1">
        <f t="shared" si="150"/>
        <v>0.30154513454923543</v>
      </c>
      <c r="K261" s="1">
        <f t="shared" si="150"/>
        <v>0.2888639529748826</v>
      </c>
    </row>
    <row r="262" spans="1:18" x14ac:dyDescent="0.35">
      <c r="A262" s="5" t="s">
        <v>5</v>
      </c>
      <c r="B262" s="5" t="str">
        <f t="shared" si="139"/>
        <v>SPS2</v>
      </c>
      <c r="C262" s="5" t="s">
        <v>7</v>
      </c>
      <c r="D262" t="s">
        <v>631</v>
      </c>
      <c r="E262" t="str">
        <f>E176</f>
        <v>PJ/yr.</v>
      </c>
      <c r="F262" s="1">
        <f t="shared" si="150"/>
        <v>0</v>
      </c>
      <c r="G262" s="1">
        <f t="shared" si="150"/>
        <v>0</v>
      </c>
      <c r="H262" s="1">
        <f t="shared" si="150"/>
        <v>0</v>
      </c>
      <c r="I262" s="1">
        <f t="shared" si="150"/>
        <v>0</v>
      </c>
      <c r="J262" s="1">
        <f t="shared" si="150"/>
        <v>1.1332755070354824E-3</v>
      </c>
      <c r="K262" s="1">
        <f t="shared" si="150"/>
        <v>0.16706054300251708</v>
      </c>
    </row>
    <row r="263" spans="1:18" x14ac:dyDescent="0.35">
      <c r="A263" s="5" t="s">
        <v>5</v>
      </c>
      <c r="B263" s="5" t="str">
        <f t="shared" si="139"/>
        <v>SPS2</v>
      </c>
      <c r="C263" s="5" t="s">
        <v>7</v>
      </c>
      <c r="D263" t="s">
        <v>632</v>
      </c>
      <c r="E263" t="str">
        <f>E177</f>
        <v>PJ/yr.</v>
      </c>
      <c r="F263" s="1">
        <f t="shared" si="150"/>
        <v>0</v>
      </c>
      <c r="G263" s="1">
        <f t="shared" si="150"/>
        <v>0</v>
      </c>
      <c r="H263" s="1">
        <f t="shared" si="150"/>
        <v>0</v>
      </c>
      <c r="I263" s="1">
        <f t="shared" si="150"/>
        <v>0</v>
      </c>
      <c r="J263" s="1">
        <f t="shared" si="150"/>
        <v>1.5833748931537042E-3</v>
      </c>
      <c r="K263" s="1">
        <f t="shared" si="150"/>
        <v>3.2088957949805245E-4</v>
      </c>
    </row>
    <row r="264" spans="1:18" x14ac:dyDescent="0.35">
      <c r="A264" s="5" t="s">
        <v>5</v>
      </c>
      <c r="B264" s="5" t="str">
        <f t="shared" si="139"/>
        <v>SPS2</v>
      </c>
      <c r="C264" s="5" t="s">
        <v>7</v>
      </c>
      <c r="D264" t="s">
        <v>633</v>
      </c>
      <c r="E264" t="str">
        <f>E203</f>
        <v>PJ/yr.</v>
      </c>
      <c r="F264" s="1">
        <f t="shared" si="150"/>
        <v>1.7848192223915175E-3</v>
      </c>
      <c r="G264" s="1">
        <f t="shared" si="150"/>
        <v>2.8130809993730802E-4</v>
      </c>
      <c r="H264" s="1">
        <f t="shared" si="150"/>
        <v>8.8686257653537953E-4</v>
      </c>
      <c r="I264" s="1">
        <f t="shared" si="150"/>
        <v>1.0184253823059058E-3</v>
      </c>
      <c r="J264" s="1">
        <f t="shared" si="150"/>
        <v>5.417760199666161E-3</v>
      </c>
      <c r="K264" s="1">
        <f t="shared" si="150"/>
        <v>0</v>
      </c>
    </row>
    <row r="265" spans="1:18" x14ac:dyDescent="0.35">
      <c r="A265" s="5" t="s">
        <v>5</v>
      </c>
      <c r="B265" s="5" t="str">
        <f t="shared" si="139"/>
        <v>SPS2</v>
      </c>
      <c r="C265" s="5" t="s">
        <v>7</v>
      </c>
      <c r="D265" t="s">
        <v>634</v>
      </c>
      <c r="E265" t="str">
        <f>E205</f>
        <v>PJ/yr.</v>
      </c>
      <c r="F265" s="1">
        <f t="shared" si="150"/>
        <v>0</v>
      </c>
      <c r="G265" s="1">
        <f t="shared" si="150"/>
        <v>0</v>
      </c>
      <c r="H265" s="1">
        <f t="shared" si="150"/>
        <v>0</v>
      </c>
      <c r="I265" s="1">
        <f t="shared" si="150"/>
        <v>0</v>
      </c>
      <c r="J265" s="1">
        <f t="shared" si="150"/>
        <v>0</v>
      </c>
      <c r="K265" s="1">
        <f t="shared" si="150"/>
        <v>0</v>
      </c>
    </row>
    <row r="266" spans="1:18" x14ac:dyDescent="0.35">
      <c r="A266" s="5" t="s">
        <v>5</v>
      </c>
      <c r="B266" s="5" t="str">
        <f t="shared" si="139"/>
        <v>SPS2</v>
      </c>
      <c r="C266" s="5" t="s">
        <v>7</v>
      </c>
      <c r="D266" t="s">
        <v>635</v>
      </c>
      <c r="E266" t="str">
        <f>E207</f>
        <v>PJ/yr.</v>
      </c>
      <c r="F266" s="1">
        <f t="shared" si="150"/>
        <v>2.4712036899834817E-3</v>
      </c>
      <c r="G266" s="1">
        <f t="shared" si="150"/>
        <v>3.6811140889699305E-4</v>
      </c>
      <c r="H266" s="1">
        <f t="shared" si="150"/>
        <v>1.35782183716183E-3</v>
      </c>
      <c r="I266" s="1">
        <f t="shared" si="150"/>
        <v>1.4750203432127591E-3</v>
      </c>
      <c r="J266" s="1">
        <f t="shared" si="150"/>
        <v>1.2032823616952838E-2</v>
      </c>
      <c r="K266" s="1">
        <f t="shared" si="150"/>
        <v>0</v>
      </c>
    </row>
    <row r="267" spans="1:18" x14ac:dyDescent="0.35">
      <c r="A267" s="5" t="s">
        <v>5</v>
      </c>
      <c r="B267" s="5" t="str">
        <f t="shared" si="139"/>
        <v>SPS2</v>
      </c>
      <c r="C267" s="5" t="s">
        <v>7</v>
      </c>
      <c r="D267" t="s">
        <v>636</v>
      </c>
      <c r="E267" t="str">
        <f>E208</f>
        <v>PJ/yr.</v>
      </c>
      <c r="F267" s="1">
        <f t="shared" si="150"/>
        <v>0</v>
      </c>
      <c r="G267" s="1">
        <f t="shared" si="150"/>
        <v>0</v>
      </c>
      <c r="H267" s="1">
        <f t="shared" si="150"/>
        <v>0</v>
      </c>
      <c r="I267" s="1">
        <f t="shared" si="150"/>
        <v>0</v>
      </c>
      <c r="J267" s="1">
        <f t="shared" si="150"/>
        <v>0</v>
      </c>
      <c r="K267" s="1">
        <f t="shared" si="150"/>
        <v>0</v>
      </c>
    </row>
    <row r="268" spans="1:18" x14ac:dyDescent="0.35">
      <c r="A268" s="5" t="s">
        <v>5</v>
      </c>
      <c r="B268" s="5" t="str">
        <f t="shared" si="139"/>
        <v>SPS2</v>
      </c>
      <c r="C268" s="5" t="s">
        <v>7</v>
      </c>
      <c r="D268" t="s">
        <v>637</v>
      </c>
      <c r="E268" t="str">
        <f>E231</f>
        <v>PJ/yr.</v>
      </c>
      <c r="F268" s="1">
        <f t="shared" si="150"/>
        <v>1.4243540298057575</v>
      </c>
      <c r="G268" s="1">
        <f t="shared" si="150"/>
        <v>1.5785045175867487</v>
      </c>
      <c r="H268" s="1">
        <f t="shared" si="150"/>
        <v>1.4830819010325693</v>
      </c>
      <c r="I268" s="1">
        <f t="shared" si="150"/>
        <v>1.3240646587309111</v>
      </c>
      <c r="J268" s="1">
        <f t="shared" si="150"/>
        <v>1.0060404408759995</v>
      </c>
      <c r="K268" s="1">
        <f t="shared" si="150"/>
        <v>1.0060388665790938</v>
      </c>
    </row>
    <row r="269" spans="1:18" x14ac:dyDescent="0.35">
      <c r="A269" s="5" t="s">
        <v>5</v>
      </c>
      <c r="B269" s="5" t="str">
        <f t="shared" si="139"/>
        <v>SPS2</v>
      </c>
      <c r="C269" s="5" t="s">
        <v>7</v>
      </c>
      <c r="D269" t="s">
        <v>638</v>
      </c>
      <c r="E269" t="str">
        <f>E233</f>
        <v>PJ/yr.</v>
      </c>
      <c r="F269" s="1">
        <f t="shared" si="150"/>
        <v>1.7792007659348359E-2</v>
      </c>
      <c r="G269" s="1">
        <f t="shared" si="150"/>
        <v>1.4993542203730396E-2</v>
      </c>
      <c r="H269" s="1">
        <f t="shared" si="150"/>
        <v>2.4707011461179966E-4</v>
      </c>
      <c r="I269" s="1">
        <f t="shared" si="150"/>
        <v>2.1747258531839043E-4</v>
      </c>
      <c r="J269" s="1">
        <f t="shared" si="150"/>
        <v>1.0890039383856002E-3</v>
      </c>
      <c r="K269" s="1">
        <f t="shared" si="150"/>
        <v>0</v>
      </c>
    </row>
    <row r="270" spans="1:18" x14ac:dyDescent="0.35">
      <c r="A270" s="5" t="s">
        <v>5</v>
      </c>
      <c r="B270" s="5" t="str">
        <f t="shared" si="139"/>
        <v>SPS2</v>
      </c>
      <c r="C270" s="5" t="s">
        <v>7</v>
      </c>
      <c r="D270" t="s">
        <v>639</v>
      </c>
      <c r="E270" t="str">
        <f>E237</f>
        <v>PJ/yr.</v>
      </c>
      <c r="F270" s="1">
        <f t="shared" si="150"/>
        <v>0</v>
      </c>
      <c r="G270" s="1">
        <f t="shared" si="150"/>
        <v>0</v>
      </c>
      <c r="H270" s="1">
        <f t="shared" si="150"/>
        <v>0</v>
      </c>
      <c r="I270" s="1">
        <f t="shared" si="150"/>
        <v>0</v>
      </c>
      <c r="J270" s="1">
        <f t="shared" si="150"/>
        <v>0</v>
      </c>
      <c r="K270" s="1">
        <f t="shared" si="150"/>
        <v>0</v>
      </c>
    </row>
    <row r="271" spans="1:18" x14ac:dyDescent="0.35">
      <c r="A271" s="5" t="s">
        <v>5</v>
      </c>
      <c r="B271" s="5" t="str">
        <f t="shared" si="139"/>
        <v>SPS2</v>
      </c>
      <c r="C271" s="5" t="s">
        <v>7</v>
      </c>
      <c r="D271" t="s">
        <v>841</v>
      </c>
      <c r="E271" t="str">
        <f>E177</f>
        <v>PJ/yr.</v>
      </c>
      <c r="F271" s="1">
        <f>SUM(F272:F273)</f>
        <v>1.9349823650994484</v>
      </c>
      <c r="G271" s="1">
        <f t="shared" ref="G271:K271" si="151">SUM(G272:G273)</f>
        <v>1.9462973256983322</v>
      </c>
      <c r="H271" s="1">
        <f t="shared" si="151"/>
        <v>2.5503239676239566</v>
      </c>
      <c r="I271" s="1">
        <f t="shared" si="151"/>
        <v>2.4035966394998383</v>
      </c>
      <c r="J271" s="1">
        <f t="shared" si="151"/>
        <v>1.7618154979865484</v>
      </c>
      <c r="K271" s="1">
        <f t="shared" si="151"/>
        <v>2.2159598546920929</v>
      </c>
    </row>
    <row r="272" spans="1:18" x14ac:dyDescent="0.35">
      <c r="A272" s="5" t="s">
        <v>5</v>
      </c>
      <c r="B272" s="5" t="str">
        <f t="shared" si="139"/>
        <v>SPS2</v>
      </c>
      <c r="C272" s="5" t="s">
        <v>7</v>
      </c>
      <c r="D272" t="s">
        <v>179</v>
      </c>
      <c r="E272" t="str">
        <f>E178</f>
        <v>PJ/yr.</v>
      </c>
      <c r="F272" s="1">
        <f>'[1]Electricity and CHPs'!B$106-F273</f>
        <v>1.9349823650994484</v>
      </c>
      <c r="G272" s="1">
        <f>'[1]Electricity and CHPs'!C$106-G273</f>
        <v>1.9462973256983322</v>
      </c>
      <c r="H272" s="1">
        <f>'[1]Electricity and CHPs'!D$106-H273</f>
        <v>2.5503239676239566</v>
      </c>
      <c r="I272" s="1">
        <f>'[1]Electricity and CHPs'!E$106-I273</f>
        <v>2.4035966394998383</v>
      </c>
      <c r="J272" s="1">
        <f>'[1]Electricity and CHPs'!F$106-J273</f>
        <v>1.5323042464467826</v>
      </c>
      <c r="K272" s="1">
        <f>'[1]Electricity and CHPs'!G$106-K273</f>
        <v>3.5492607876941307E-4</v>
      </c>
    </row>
    <row r="273" spans="1:11" x14ac:dyDescent="0.35">
      <c r="A273" s="5" t="s">
        <v>5</v>
      </c>
      <c r="B273" s="5" t="str">
        <f t="shared" si="139"/>
        <v>SPS2</v>
      </c>
      <c r="C273" s="5" t="s">
        <v>7</v>
      </c>
      <c r="D273" t="s">
        <v>180</v>
      </c>
      <c r="E273" t="str">
        <f>E179</f>
        <v>PJ/yr.</v>
      </c>
      <c r="F273" s="10" cm="1">
        <f t="array" ref="F273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3" s="10" cm="1">
        <f t="array" ref="G273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3" s="10" cm="1">
        <f t="array" ref="H273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3" s="10" cm="1">
        <f t="array" ref="I273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3" s="10" cm="1">
        <f t="array" ref="J273">SUMPRODUCT((ISNUMBER(SEARCH("itot*CHPWST*ccs*",[1]OUT_Electricity_CHP!$B$1:$B$10000)))*1,([1]OUT_Electricity_CHP!$C$1:$C$10000="Var_Fout")*1,+([1]OUT_Electricity_CHP!$D$1:$D$10000="ITOT_LTH_CHP")*1,[1]OUT_Electricity_CHP!I$1:I$10000)</f>
        <v>0.2295112515397657</v>
      </c>
      <c r="K273" s="10" cm="1">
        <f t="array" ref="K273">SUMPRODUCT((ISNUMBER(SEARCH("itot*CHPWST*ccs*",[1]OUT_Electricity_CHP!$B$1:$B$10000)))*1,([1]OUT_Electricity_CHP!$C$1:$C$10000="Var_Fout")*1,+([1]OUT_Electricity_CHP!$D$1:$D$10000="ITOT_LTH_CHP")*1,[1]OUT_Electricity_CHP!J$1:J$10000)</f>
        <v>2.2156049286133235</v>
      </c>
    </row>
    <row r="274" spans="1:11" x14ac:dyDescent="0.35">
      <c r="A274" s="5" t="s">
        <v>5</v>
      </c>
      <c r="B274" s="5" t="str">
        <f t="shared" si="139"/>
        <v>SPS2</v>
      </c>
      <c r="C274" s="5" t="s">
        <v>7</v>
      </c>
      <c r="D274" t="s">
        <v>842</v>
      </c>
      <c r="E274" t="str">
        <f>E179</f>
        <v>PJ/yr.</v>
      </c>
      <c r="F274" s="10">
        <f>SUM(F275:F276)</f>
        <v>0</v>
      </c>
      <c r="G274" s="10">
        <f t="shared" ref="G274:K274" si="152">SUM(G275:G276)</f>
        <v>0</v>
      </c>
      <c r="H274" s="10">
        <f t="shared" si="152"/>
        <v>0</v>
      </c>
      <c r="I274" s="10">
        <f t="shared" si="152"/>
        <v>0</v>
      </c>
      <c r="J274" s="10">
        <f t="shared" si="152"/>
        <v>0</v>
      </c>
      <c r="K274" s="10">
        <f t="shared" si="152"/>
        <v>0</v>
      </c>
    </row>
    <row r="275" spans="1:11" x14ac:dyDescent="0.35">
      <c r="A275" s="5" t="s">
        <v>5</v>
      </c>
      <c r="B275" s="5" t="str">
        <f t="shared" si="139"/>
        <v>SPS2</v>
      </c>
      <c r="C275" s="5" t="s">
        <v>7</v>
      </c>
      <c r="D275" t="s">
        <v>181</v>
      </c>
      <c r="E275" t="str">
        <f>E180</f>
        <v>PJ/yr.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 x14ac:dyDescent="0.35">
      <c r="A276" s="5" t="s">
        <v>5</v>
      </c>
      <c r="B276" s="5" t="str">
        <f t="shared" si="139"/>
        <v>SPS2</v>
      </c>
      <c r="C276" s="5" t="s">
        <v>7</v>
      </c>
      <c r="D276" t="s">
        <v>182</v>
      </c>
      <c r="E276" t="str">
        <f>E181</f>
        <v>PJ/yr.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x14ac:dyDescent="0.35">
      <c r="A277" s="5" t="s">
        <v>5</v>
      </c>
      <c r="B277" s="5" t="str">
        <f t="shared" si="139"/>
        <v>SPS2</v>
      </c>
      <c r="C277" s="5" t="s">
        <v>7</v>
      </c>
      <c r="D277" t="s">
        <v>843</v>
      </c>
      <c r="E277" t="str">
        <f>E182</f>
        <v>PJ/yr.</v>
      </c>
      <c r="F277" s="1">
        <f>SUM(F278:F279)</f>
        <v>1.9349823650994484</v>
      </c>
      <c r="G277" s="1">
        <f t="shared" ref="G277:K277" si="153">SUM(G278:G279)</f>
        <v>1.9462973256983322</v>
      </c>
      <c r="H277" s="1">
        <f t="shared" si="153"/>
        <v>2.5503239676239566</v>
      </c>
      <c r="I277" s="1">
        <f t="shared" si="153"/>
        <v>2.4035966394998383</v>
      </c>
      <c r="J277" s="1">
        <f t="shared" si="153"/>
        <v>1.7618154979865484</v>
      </c>
      <c r="K277" s="1">
        <f t="shared" si="153"/>
        <v>2.2159598546920929</v>
      </c>
    </row>
    <row r="278" spans="1:11" x14ac:dyDescent="0.35">
      <c r="A278" s="5" t="s">
        <v>5</v>
      </c>
      <c r="B278" s="5" t="str">
        <f t="shared" si="139"/>
        <v>SPS2</v>
      </c>
      <c r="C278" s="5" t="s">
        <v>7</v>
      </c>
      <c r="D278" t="s">
        <v>183</v>
      </c>
      <c r="E278" t="str">
        <f>E183</f>
        <v>PJ/yr.</v>
      </c>
      <c r="F278" s="1">
        <f>F272</f>
        <v>1.9349823650994484</v>
      </c>
      <c r="G278" s="1">
        <f t="shared" ref="G278:K278" si="154">G272</f>
        <v>1.9462973256983322</v>
      </c>
      <c r="H278" s="1">
        <f t="shared" si="154"/>
        <v>2.5503239676239566</v>
      </c>
      <c r="I278" s="1">
        <f t="shared" si="154"/>
        <v>2.4035966394998383</v>
      </c>
      <c r="J278" s="1">
        <f t="shared" si="154"/>
        <v>1.5323042464467826</v>
      </c>
      <c r="K278" s="1">
        <f t="shared" si="154"/>
        <v>3.5492607876941307E-4</v>
      </c>
    </row>
    <row r="279" spans="1:11" x14ac:dyDescent="0.35">
      <c r="A279" s="5" t="s">
        <v>5</v>
      </c>
      <c r="B279" s="5" t="str">
        <f t="shared" si="139"/>
        <v>SPS2</v>
      </c>
      <c r="C279" s="5" t="s">
        <v>7</v>
      </c>
      <c r="D279" t="s">
        <v>184</v>
      </c>
      <c r="E279" t="str">
        <f>E185</f>
        <v>PJ/yr.</v>
      </c>
      <c r="F279" s="1">
        <f t="shared" ref="F279:K279" si="155">F273</f>
        <v>0</v>
      </c>
      <c r="G279" s="1">
        <f t="shared" si="155"/>
        <v>0</v>
      </c>
      <c r="H279" s="1">
        <f t="shared" si="155"/>
        <v>0</v>
      </c>
      <c r="I279" s="1">
        <f t="shared" si="155"/>
        <v>0</v>
      </c>
      <c r="J279" s="1">
        <f t="shared" si="155"/>
        <v>0.2295112515397657</v>
      </c>
      <c r="K279" s="1">
        <f t="shared" si="155"/>
        <v>2.2156049286133235</v>
      </c>
    </row>
    <row r="280" spans="1:11" x14ac:dyDescent="0.35">
      <c r="A280" s="5" t="s">
        <v>5</v>
      </c>
      <c r="B280" s="5" t="str">
        <f t="shared" si="139"/>
        <v>SPS2</v>
      </c>
      <c r="C280" s="5" t="s">
        <v>7</v>
      </c>
      <c r="D280" t="s">
        <v>844</v>
      </c>
      <c r="E280" t="str">
        <f>E186</f>
        <v>PJ/yr.</v>
      </c>
      <c r="F280" s="1">
        <f>SUM(F281:F285)</f>
        <v>0.66419805224437112</v>
      </c>
      <c r="G280" s="1">
        <f t="shared" ref="G280:K280" si="156">SUM(G281:G285)</f>
        <v>1.7868400989576112</v>
      </c>
      <c r="H280" s="1">
        <f t="shared" si="156"/>
        <v>3.3350571918897955</v>
      </c>
      <c r="I280" s="1">
        <f t="shared" si="156"/>
        <v>3.7177335575104915</v>
      </c>
      <c r="J280" s="1">
        <f t="shared" si="156"/>
        <v>6.1929322939263685</v>
      </c>
      <c r="K280" s="1">
        <f t="shared" si="156"/>
        <v>9.5466792467521078</v>
      </c>
    </row>
    <row r="281" spans="1:11" x14ac:dyDescent="0.35">
      <c r="A281" s="5" t="s">
        <v>5</v>
      </c>
      <c r="B281" s="5" t="str">
        <f t="shared" si="139"/>
        <v>SPS2</v>
      </c>
      <c r="C281" s="5" t="s">
        <v>7</v>
      </c>
      <c r="D281" t="s">
        <v>185</v>
      </c>
      <c r="E281" t="str">
        <f>E187</f>
        <v>PJ/yr.</v>
      </c>
      <c r="F281" s="1">
        <f>'[1]Electricity and CHPs'!B$105-F282</f>
        <v>0.65969644961829754</v>
      </c>
      <c r="G281" s="1">
        <f>'[1]Electricity and CHPs'!C$105-G282</f>
        <v>1.7835627850281515</v>
      </c>
      <c r="H281" s="1">
        <f>'[1]Electricity and CHPs'!D$105-H282</f>
        <v>3.3332179163618205</v>
      </c>
      <c r="I281" s="1">
        <f>'[1]Electricity and CHPs'!E$105-I282</f>
        <v>3.6893480787620043</v>
      </c>
      <c r="J281" s="1">
        <f>'[1]Electricity and CHPs'!F$105-J282</f>
        <v>1.8223826489028969</v>
      </c>
      <c r="K281" s="1">
        <f>'[1]Electricity and CHPs'!G$105-K282</f>
        <v>0.73401353434826078</v>
      </c>
    </row>
    <row r="282" spans="1:11" x14ac:dyDescent="0.35">
      <c r="A282" s="5" t="s">
        <v>5</v>
      </c>
      <c r="B282" s="5" t="str">
        <f t="shared" si="139"/>
        <v>SPS2</v>
      </c>
      <c r="C282" s="5" t="s">
        <v>7</v>
      </c>
      <c r="D282" t="s">
        <v>186</v>
      </c>
      <c r="E282" t="str">
        <f>E188</f>
        <v>PJ/yr.</v>
      </c>
      <c r="F282" s="1" cm="1">
        <f t="array" ref="F282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2" s="1" cm="1">
        <f t="array" ref="G282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2" s="1" cm="1">
        <f t="array" ref="H282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2" s="1" cm="1">
        <f t="array" ref="I282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2" s="1" cm="1">
        <f t="array" ref="J282">SUMPRODUCT((ISNUMBER(SEARCH("itot*CHPWOD*ccs",[1]OUT_Electricity_CHP!$B$1:$B$10000)))*1,([1]OUT_Electricity_CHP!$C$1:$C$10000="Var_Fout")*1,([1]OUT_Electricity_CHP!$D$1:$D$10000="ITOT_LTH_CHP")*1,[1]OUT_Electricity_CHP!I$1:I$10000)</f>
        <v>3.9980544461505003</v>
      </c>
      <c r="K282" s="1" cm="1">
        <f t="array" ref="K282">SUMPRODUCT((ISNUMBER(SEARCH("itot*CHPWOD*ccs",[1]OUT_Electricity_CHP!$B$1:$B$10000)))*1,([1]OUT_Electricity_CHP!$C$1:$C$10000="Var_Fout")*1,([1]OUT_Electricity_CHP!$D$1:$D$10000="ITOT_LTH_CHP")*1,[1]OUT_Electricity_CHP!J$1:J$10000)</f>
        <v>8.7354382012071774</v>
      </c>
    </row>
    <row r="283" spans="1:11" x14ac:dyDescent="0.35">
      <c r="A283" s="5" t="s">
        <v>5</v>
      </c>
      <c r="B283" s="5" t="str">
        <f t="shared" si="139"/>
        <v>SPS2</v>
      </c>
      <c r="C283" s="5" t="s">
        <v>7</v>
      </c>
      <c r="D283" t="s">
        <v>187</v>
      </c>
      <c r="E283" t="str">
        <f>E210</f>
        <v>PJ/yr.</v>
      </c>
      <c r="F283" s="1">
        <f>'[1]Electricity and CHPs'!B$110</f>
        <v>2.2135513023671554E-3</v>
      </c>
      <c r="G283" s="1">
        <f>'[1]Electricity and CHPs'!C$110</f>
        <v>1.6386911163475655E-3</v>
      </c>
      <c r="H283" s="1">
        <f>'[1]Electricity and CHPs'!D$110</f>
        <v>9.1969425497101021E-4</v>
      </c>
      <c r="I283" s="1">
        <f>'[1]Electricity and CHPs'!E$110</f>
        <v>9.7512368455532593E-3</v>
      </c>
      <c r="J283" s="1">
        <f>'[1]Electricity and CHPs'!F$110</f>
        <v>2.4871805683281463E-2</v>
      </c>
      <c r="K283" s="1">
        <f>'[1]Electricity and CHPs'!G$110</f>
        <v>2.1693024094652687E-2</v>
      </c>
    </row>
    <row r="284" spans="1:11" x14ac:dyDescent="0.35">
      <c r="A284" s="5" t="s">
        <v>5</v>
      </c>
      <c r="B284" s="5" t="str">
        <f t="shared" si="139"/>
        <v>SPS2</v>
      </c>
      <c r="C284" s="5" t="s">
        <v>7</v>
      </c>
      <c r="D284" t="s">
        <v>188</v>
      </c>
      <c r="E284" t="str">
        <f>E214</f>
        <v>PJ/yr.</v>
      </c>
      <c r="F284" s="1">
        <f>'[1]Electricity and CHPs'!B$113</f>
        <v>2.2880513237065045E-3</v>
      </c>
      <c r="G284" s="1">
        <f>'[1]Electricity and CHPs'!C$113</f>
        <v>1.6386228131123086E-3</v>
      </c>
      <c r="H284" s="1">
        <f>'[1]Electricity and CHPs'!D$113</f>
        <v>9.195812730038689E-4</v>
      </c>
      <c r="I284" s="1">
        <f>'[1]Electricity and CHPs'!E$113</f>
        <v>1.6882005205468106E-2</v>
      </c>
      <c r="J284" s="1">
        <f>'[1]Electricity and CHPs'!F$113</f>
        <v>0.34457059424332442</v>
      </c>
      <c r="K284" s="1">
        <f>'[1]Electricity and CHPs'!G$113</f>
        <v>5.3174800882474504E-2</v>
      </c>
    </row>
    <row r="285" spans="1:11" x14ac:dyDescent="0.35">
      <c r="A285" s="5" t="s">
        <v>5</v>
      </c>
      <c r="B285" s="5" t="str">
        <f t="shared" si="139"/>
        <v>SPS2</v>
      </c>
      <c r="C285" s="5" t="s">
        <v>7</v>
      </c>
      <c r="D285" t="s">
        <v>235</v>
      </c>
      <c r="E285" t="str">
        <f>E239</f>
        <v>PJ/yr.</v>
      </c>
      <c r="F285" s="1">
        <f>'[1]Electricity and CHPs'!B$117</f>
        <v>0</v>
      </c>
      <c r="G285" s="1">
        <f>'[1]Electricity and CHPs'!C$117</f>
        <v>0</v>
      </c>
      <c r="H285" s="1">
        <f>'[1]Electricity and CHPs'!D$117</f>
        <v>0</v>
      </c>
      <c r="I285" s="1">
        <f>'[1]Electricity and CHPs'!E$117</f>
        <v>1.7522366974657077E-3</v>
      </c>
      <c r="J285" s="1">
        <f>'[1]Electricity and CHPs'!F$117</f>
        <v>3.0527989463652637E-3</v>
      </c>
      <c r="K285" s="1">
        <f>'[1]Electricity and CHPs'!G$117</f>
        <v>2.3596862195419052E-3</v>
      </c>
    </row>
    <row r="286" spans="1:11" x14ac:dyDescent="0.35">
      <c r="A286" s="5" t="s">
        <v>5</v>
      </c>
      <c r="B286" s="5" t="str">
        <f t="shared" si="139"/>
        <v>SPS2</v>
      </c>
      <c r="C286" s="5" t="s">
        <v>7</v>
      </c>
      <c r="D286" t="s">
        <v>845</v>
      </c>
      <c r="E286" t="str">
        <f>E193</f>
        <v>PJ/yr.</v>
      </c>
      <c r="F286" s="1">
        <f>SUM(F287:F288)</f>
        <v>0</v>
      </c>
      <c r="G286" s="1">
        <f t="shared" ref="G286:K286" si="157">SUM(G287:G288)</f>
        <v>0</v>
      </c>
      <c r="H286" s="1">
        <f t="shared" si="157"/>
        <v>0</v>
      </c>
      <c r="I286" s="1">
        <f t="shared" si="157"/>
        <v>1.0014175980366418E-2</v>
      </c>
      <c r="J286" s="1">
        <f t="shared" si="157"/>
        <v>0.16993583240293414</v>
      </c>
      <c r="K286" s="1">
        <f t="shared" si="157"/>
        <v>0.10318111801378864</v>
      </c>
    </row>
    <row r="287" spans="1:11" x14ac:dyDescent="0.35">
      <c r="A287" s="5" t="s">
        <v>5</v>
      </c>
      <c r="B287" s="5" t="str">
        <f t="shared" si="139"/>
        <v>SPS2</v>
      </c>
      <c r="C287" s="5" t="s">
        <v>7</v>
      </c>
      <c r="D287" t="s">
        <v>189</v>
      </c>
      <c r="E287" t="str">
        <f>E194</f>
        <v>PJ/yr.</v>
      </c>
      <c r="F287" s="1">
        <f>'[1]Electricity and CHPs'!B$108</f>
        <v>0</v>
      </c>
      <c r="G287" s="1">
        <f>'[1]Electricity and CHPs'!C$108</f>
        <v>0</v>
      </c>
      <c r="H287" s="1">
        <f>'[1]Electricity and CHPs'!D$108</f>
        <v>0</v>
      </c>
      <c r="I287" s="1">
        <f>'[1]Electricity and CHPs'!E$108</f>
        <v>0</v>
      </c>
      <c r="J287" s="1">
        <f>'[1]Electricity and CHPs'!F$108</f>
        <v>0.15248916213274136</v>
      </c>
      <c r="K287" s="1">
        <f>'[1]Electricity and CHPs'!G$108</f>
        <v>0.1005597947137882</v>
      </c>
    </row>
    <row r="288" spans="1:11" x14ac:dyDescent="0.35">
      <c r="A288" s="5" t="s">
        <v>5</v>
      </c>
      <c r="B288" s="5" t="str">
        <f t="shared" si="139"/>
        <v>SPS2</v>
      </c>
      <c r="C288" s="5" t="s">
        <v>7</v>
      </c>
      <c r="D288" t="s">
        <v>236</v>
      </c>
      <c r="E288" t="str">
        <f>E241</f>
        <v>PJ/yr.</v>
      </c>
      <c r="F288" s="1">
        <f>'[1]Electricity and CHPs'!B$119</f>
        <v>0</v>
      </c>
      <c r="G288" s="1">
        <f>'[1]Electricity and CHPs'!C$119</f>
        <v>0</v>
      </c>
      <c r="H288" s="1">
        <f>'[1]Electricity and CHPs'!D$119</f>
        <v>0</v>
      </c>
      <c r="I288" s="1">
        <f>'[1]Electricity and CHPs'!E$119</f>
        <v>1.0014175980366418E-2</v>
      </c>
      <c r="J288" s="1">
        <f>'[1]Electricity and CHPs'!F$119</f>
        <v>1.7446670270192789E-2</v>
      </c>
      <c r="K288" s="1">
        <f>'[1]Electricity and CHPs'!G$119</f>
        <v>2.6213233000004304E-3</v>
      </c>
    </row>
    <row r="289" spans="1:13" x14ac:dyDescent="0.35">
      <c r="A289" s="5" t="s">
        <v>5</v>
      </c>
      <c r="B289" s="9" t="str">
        <f t="shared" si="139"/>
        <v>SPS2</v>
      </c>
      <c r="C289" s="9" t="s">
        <v>7</v>
      </c>
      <c r="D289" s="2" t="s">
        <v>91</v>
      </c>
      <c r="E289" s="2" t="str">
        <f>E287</f>
        <v>PJ/yr.</v>
      </c>
      <c r="F289" s="3">
        <f>SUM(F290,F292,F296,F308,F356,F377,F385,F387,F395,F399,F393)</f>
        <v>437.62038700583128</v>
      </c>
      <c r="G289" s="3">
        <f t="shared" ref="G289" si="158">SUM(G290,G292,G300,G308,G356,G377,G385,G387,G395,G399,G393)</f>
        <v>419.77484620357643</v>
      </c>
      <c r="H289" s="3">
        <f t="shared" ref="H289" si="159">SUM(H290,H292,H300,H308,H356,H377,H385,H387,H395,H399,H393)</f>
        <v>408.45526248808267</v>
      </c>
      <c r="I289" s="3">
        <f t="shared" ref="I289" si="160">SUM(I290,I292,I300,I308,I356,I377,I385,I387,I395,I399,I393)</f>
        <v>489.62889290045393</v>
      </c>
      <c r="J289" s="3">
        <f t="shared" ref="J289" si="161">SUM(J290,J292,J300,J308,J356,J377,J385,J387,J395,J399,J393)</f>
        <v>418.15406229557357</v>
      </c>
      <c r="K289" s="3">
        <f t="shared" ref="K289" si="162">SUM(K290,K292,K300,K308,K356,K377,K385,K387,K395,K399,K393)</f>
        <v>394.9095098773505</v>
      </c>
    </row>
    <row r="290" spans="1:13" x14ac:dyDescent="0.35">
      <c r="A290" s="5" t="s">
        <v>5</v>
      </c>
      <c r="B290" s="5" t="str">
        <f t="shared" si="139"/>
        <v>SPS2</v>
      </c>
      <c r="C290" s="5" t="s">
        <v>7</v>
      </c>
      <c r="D290" t="s">
        <v>846</v>
      </c>
      <c r="E290" t="str">
        <f>E288</f>
        <v>PJ/yr.</v>
      </c>
      <c r="F290" s="1">
        <f>F291</f>
        <v>250.94828863526817</v>
      </c>
      <c r="G290" s="1">
        <f t="shared" ref="G290:K290" si="163">G291</f>
        <v>253.29954054305807</v>
      </c>
      <c r="H290" s="1">
        <f t="shared" si="163"/>
        <v>206.09702330408192</v>
      </c>
      <c r="I290" s="1">
        <f t="shared" si="163"/>
        <v>211.82392013098504</v>
      </c>
      <c r="J290" s="1">
        <f t="shared" si="163"/>
        <v>98.945514584658667</v>
      </c>
      <c r="K290" s="1">
        <f t="shared" si="163"/>
        <v>0</v>
      </c>
    </row>
    <row r="291" spans="1:13" x14ac:dyDescent="0.35">
      <c r="A291" s="5" t="s">
        <v>5</v>
      </c>
      <c r="B291" s="5" t="str">
        <f t="shared" si="139"/>
        <v>SPS2</v>
      </c>
      <c r="C291" s="5" t="s">
        <v>7</v>
      </c>
      <c r="D291" t="s">
        <v>92</v>
      </c>
      <c r="E291" t="str">
        <f>E290</f>
        <v>PJ/yr.</v>
      </c>
      <c r="F291" s="1">
        <f>'[1]Electricity and CHPs_IN'!B$14</f>
        <v>250.94828863526817</v>
      </c>
      <c r="G291" s="1">
        <f>'[1]Electricity and CHPs_IN'!C$14</f>
        <v>253.29954054305807</v>
      </c>
      <c r="H291" s="1">
        <f>'[1]Electricity and CHPs_IN'!D$14</f>
        <v>206.09702330408192</v>
      </c>
      <c r="I291" s="1">
        <f>'[1]Electricity and CHPs_IN'!E$14</f>
        <v>211.82392013098504</v>
      </c>
      <c r="J291" s="1">
        <f>'[1]Electricity and CHPs_IN'!F$14</f>
        <v>98.945514584658667</v>
      </c>
      <c r="K291" s="1">
        <f>'[1]Electricity and CHPs_IN'!G$14</f>
        <v>0</v>
      </c>
    </row>
    <row r="292" spans="1:13" x14ac:dyDescent="0.35">
      <c r="A292" s="5" t="s">
        <v>5</v>
      </c>
      <c r="B292" s="5" t="str">
        <f t="shared" si="139"/>
        <v>SPS2</v>
      </c>
      <c r="C292" s="5" t="s">
        <v>7</v>
      </c>
      <c r="D292" t="s">
        <v>847</v>
      </c>
      <c r="E292" t="str">
        <f t="shared" ref="E292:E355" si="164">E291</f>
        <v>PJ/yr.</v>
      </c>
      <c r="F292" s="1">
        <f>SUM(F293:F295)</f>
        <v>149.43050891020553</v>
      </c>
      <c r="G292" s="1">
        <f t="shared" ref="G292:K292" si="165">SUM(G293:G295)</f>
        <v>125.61099564301975</v>
      </c>
      <c r="H292" s="1">
        <f t="shared" si="165"/>
        <v>144.60421894080295</v>
      </c>
      <c r="I292" s="1">
        <f t="shared" si="165"/>
        <v>184.76924190296492</v>
      </c>
      <c r="J292" s="1">
        <f t="shared" si="165"/>
        <v>155.06378417958777</v>
      </c>
      <c r="K292" s="1">
        <f t="shared" si="165"/>
        <v>159.23144331018531</v>
      </c>
    </row>
    <row r="293" spans="1:13" x14ac:dyDescent="0.35">
      <c r="A293" s="5" t="s">
        <v>5</v>
      </c>
      <c r="B293" s="5" t="str">
        <f t="shared" si="139"/>
        <v>SPS2</v>
      </c>
      <c r="C293" s="5" t="s">
        <v>7</v>
      </c>
      <c r="D293" t="s">
        <v>93</v>
      </c>
      <c r="E293" t="str">
        <f t="shared" si="164"/>
        <v>PJ/yr.</v>
      </c>
      <c r="F293" s="1">
        <f>'[1]Electricity and CHPs_IN'!B$15</f>
        <v>66.745680801082017</v>
      </c>
      <c r="G293" s="1">
        <f>'[1]Electricity and CHPs_IN'!C$15</f>
        <v>49.798798162012751</v>
      </c>
      <c r="H293" s="1">
        <f>'[1]Electricity and CHPs_IN'!D$15</f>
        <v>68.519822333982376</v>
      </c>
      <c r="I293" s="1">
        <f>'[1]Electricity and CHPs_IN'!E$15</f>
        <v>68.564272621523827</v>
      </c>
      <c r="J293" s="1">
        <f>'[1]Electricity and CHPs_IN'!F$15</f>
        <v>71.347195485573749</v>
      </c>
      <c r="K293" s="1">
        <f>'[1]Electricity and CHPs_IN'!G$15</f>
        <v>74.836062463111176</v>
      </c>
    </row>
    <row r="294" spans="1:13" x14ac:dyDescent="0.35">
      <c r="A294" s="5" t="s">
        <v>5</v>
      </c>
      <c r="B294" s="5" t="str">
        <f t="shared" si="139"/>
        <v>SPS2</v>
      </c>
      <c r="C294" s="5" t="s">
        <v>7</v>
      </c>
      <c r="D294" t="s">
        <v>94</v>
      </c>
      <c r="E294" t="str">
        <f t="shared" si="164"/>
        <v>PJ/yr.</v>
      </c>
      <c r="F294" s="1">
        <f>'[1]Electricity and CHPs_IN'!B$16</f>
        <v>66.632410606460908</v>
      </c>
      <c r="G294" s="1">
        <f>'[1]Electricity and CHPs_IN'!C$16</f>
        <v>55.764006821931353</v>
      </c>
      <c r="H294" s="1">
        <f>'[1]Electricity and CHPs_IN'!D$16</f>
        <v>65.566170920840051</v>
      </c>
      <c r="I294" s="1">
        <f>'[1]Electricity and CHPs_IN'!E$16</f>
        <v>66.917163236066756</v>
      </c>
      <c r="J294" s="1">
        <f>'[1]Electricity and CHPs_IN'!F$16</f>
        <v>66.967455268473685</v>
      </c>
      <c r="K294" s="1">
        <f>'[1]Electricity and CHPs_IN'!G$16</f>
        <v>67.13500508681291</v>
      </c>
    </row>
    <row r="295" spans="1:13" x14ac:dyDescent="0.35">
      <c r="A295" s="5" t="s">
        <v>5</v>
      </c>
      <c r="B295" s="5" t="str">
        <f t="shared" si="139"/>
        <v>SPS2</v>
      </c>
      <c r="C295" s="5" t="s">
        <v>7</v>
      </c>
      <c r="D295" t="s">
        <v>95</v>
      </c>
      <c r="E295" t="str">
        <f t="shared" si="164"/>
        <v>PJ/yr.</v>
      </c>
      <c r="F295" s="1">
        <f>'[1]Electricity and CHPs_IN'!B$13</f>
        <v>16.052417502662617</v>
      </c>
      <c r="G295" s="1">
        <f>'[1]Electricity and CHPs_IN'!C$13</f>
        <v>20.048190659075637</v>
      </c>
      <c r="H295" s="1">
        <f>'[1]Electricity and CHPs_IN'!D$13</f>
        <v>10.518225685980527</v>
      </c>
      <c r="I295" s="1">
        <f>'[1]Electricity and CHPs_IN'!E$13</f>
        <v>49.287806045374339</v>
      </c>
      <c r="J295" s="1">
        <f>'[1]Electricity and CHPs_IN'!F$13</f>
        <v>16.749133425540361</v>
      </c>
      <c r="K295" s="1">
        <f>'[1]Electricity and CHPs_IN'!G$13</f>
        <v>17.260375760261219</v>
      </c>
    </row>
    <row r="296" spans="1:13" x14ac:dyDescent="0.35">
      <c r="A296" s="5" t="s">
        <v>5</v>
      </c>
      <c r="B296" s="5" t="str">
        <f t="shared" si="139"/>
        <v>SPS2</v>
      </c>
      <c r="C296" s="5" t="s">
        <v>7</v>
      </c>
      <c r="D296" t="s">
        <v>848</v>
      </c>
      <c r="E296" t="str">
        <f t="shared" si="164"/>
        <v>PJ/yr.</v>
      </c>
      <c r="F296" s="1">
        <f>SUM(F297:F299)</f>
        <v>0.16734962754556176</v>
      </c>
      <c r="G296" s="1">
        <f t="shared" ref="G296:K296" si="166">SUM(G297:G299)</f>
        <v>6.161333813065497E-2</v>
      </c>
      <c r="H296" s="1">
        <f t="shared" si="166"/>
        <v>5.970752082630347E-2</v>
      </c>
      <c r="I296" s="1">
        <f t="shared" si="166"/>
        <v>7.8380524375417274E-2</v>
      </c>
      <c r="J296" s="1">
        <f t="shared" si="166"/>
        <v>0.1214035068170142</v>
      </c>
      <c r="K296" s="1">
        <f t="shared" si="166"/>
        <v>3.4498755226087212E-4</v>
      </c>
    </row>
    <row r="297" spans="1:13" x14ac:dyDescent="0.35">
      <c r="A297" s="5" t="s">
        <v>5</v>
      </c>
      <c r="B297" s="5" t="str">
        <f t="shared" si="139"/>
        <v>SPS2</v>
      </c>
      <c r="C297" s="5" t="s">
        <v>7</v>
      </c>
      <c r="D297" t="s">
        <v>96</v>
      </c>
      <c r="E297" t="str">
        <f t="shared" si="164"/>
        <v>PJ/yr.</v>
      </c>
      <c r="F297" s="1">
        <f>'[1]Electricity and CHPs_IN'!B$18</f>
        <v>0.13970392093727879</v>
      </c>
      <c r="G297" s="1">
        <f>'[1]Electricity and CHPs_IN'!C$18</f>
        <v>6.7534002736082772E-3</v>
      </c>
      <c r="H297" s="1">
        <f>'[1]Electricity and CHPs_IN'!D$18</f>
        <v>4.9712129229147847E-2</v>
      </c>
      <c r="I297" s="1">
        <f>'[1]Electricity and CHPs_IN'!E$18</f>
        <v>3.2552053980787286E-3</v>
      </c>
      <c r="J297" s="1">
        <f>'[1]Electricity and CHPs_IN'!F$18</f>
        <v>0.11995509064031648</v>
      </c>
      <c r="K297" s="1">
        <f>'[1]Electricity and CHPs_IN'!G$18</f>
        <v>3.1237774447649962E-4</v>
      </c>
    </row>
    <row r="298" spans="1:13" x14ac:dyDescent="0.35">
      <c r="A298" s="5" t="s">
        <v>5</v>
      </c>
      <c r="B298" s="5" t="str">
        <f t="shared" si="139"/>
        <v>SPS2</v>
      </c>
      <c r="C298" s="5" t="s">
        <v>7</v>
      </c>
      <c r="D298" t="s">
        <v>230</v>
      </c>
      <c r="E298" t="str">
        <f t="shared" si="164"/>
        <v>PJ/yr.</v>
      </c>
      <c r="F298" s="1">
        <f>IFERROR(F70/SUM(F70,F183),0)*'[1]Electricity and CHPs_IN'!B$28</f>
        <v>5.6132558099285194E-3</v>
      </c>
      <c r="G298" s="1">
        <f>IFERROR(G70/SUM(G70,G183),0)*'[1]Electricity and CHPs_IN'!C$28</f>
        <v>2.2790536558696846E-3</v>
      </c>
      <c r="H298" s="1">
        <f>IFERROR(H70/SUM(H70,H183),0)*'[1]Electricity and CHPs_IN'!D$28</f>
        <v>6.1328028538826787E-3</v>
      </c>
      <c r="I298" s="1">
        <f>IFERROR(I70/SUM(I70,I183),0)*'[1]Electricity and CHPs_IN'!E$28</f>
        <v>8.4632791625247647E-4</v>
      </c>
      <c r="J298" s="1">
        <f>IFERROR(J70/SUM(J70,J183),0)*'[1]Electricity and CHPs_IN'!F$28</f>
        <v>1.4484161766977204E-3</v>
      </c>
      <c r="K298" s="1">
        <f>IFERROR(K70/SUM(K70,K183),0)*'[1]Electricity and CHPs_IN'!G$28</f>
        <v>3.2609807784372499E-5</v>
      </c>
      <c r="M298" s="1"/>
    </row>
    <row r="299" spans="1:13" x14ac:dyDescent="0.35">
      <c r="A299" s="5" t="s">
        <v>5</v>
      </c>
      <c r="B299" s="5" t="str">
        <f t="shared" si="139"/>
        <v>SPS2</v>
      </c>
      <c r="C299" s="5" t="s">
        <v>7</v>
      </c>
      <c r="D299" t="s">
        <v>97</v>
      </c>
      <c r="E299" t="str">
        <f t="shared" si="164"/>
        <v>PJ/yr.</v>
      </c>
      <c r="F299" s="1">
        <f>IFERROR(F71/SUM(F71,F233),0)*'[1]Electricity and CHPs_IN'!B$41</f>
        <v>2.2032450798354451E-2</v>
      </c>
      <c r="G299" s="1">
        <f>IFERROR(G71/SUM(G71,G233),0)*'[1]Electricity and CHPs_IN'!C$41</f>
        <v>5.2580884201177007E-2</v>
      </c>
      <c r="H299" s="1">
        <f>IFERROR(H71/SUM(H71,H233),0)*'[1]Electricity and CHPs_IN'!D$41</f>
        <v>3.8625887432729468E-3</v>
      </c>
      <c r="I299" s="1">
        <f>IFERROR(I71/SUM(I71,I233),0)*'[1]Electricity and CHPs_IN'!E$41</f>
        <v>7.4278991061086069E-2</v>
      </c>
      <c r="J299" s="1">
        <f>IFERROR(J71/SUM(J71,J233),0)*'[1]Electricity and CHPs_IN'!F$41</f>
        <v>0</v>
      </c>
      <c r="K299" s="1">
        <f>IFERROR(K71/SUM(K71,K233),0)*'[1]Electricity and CHPs_IN'!G$41</f>
        <v>0</v>
      </c>
    </row>
    <row r="300" spans="1:13" x14ac:dyDescent="0.35">
      <c r="A300" s="5" t="s">
        <v>5</v>
      </c>
      <c r="B300" s="5" t="str">
        <f t="shared" si="139"/>
        <v>SPS2</v>
      </c>
      <c r="C300" s="5" t="s">
        <v>7</v>
      </c>
      <c r="D300" t="s">
        <v>849</v>
      </c>
      <c r="E300" t="str">
        <f t="shared" si="164"/>
        <v>PJ/yr.</v>
      </c>
      <c r="F300" s="1">
        <f>F296</f>
        <v>0.16734962754556176</v>
      </c>
      <c r="G300" s="1">
        <f t="shared" ref="G300:K300" si="167">G296</f>
        <v>6.161333813065497E-2</v>
      </c>
      <c r="H300" s="1">
        <f t="shared" si="167"/>
        <v>5.970752082630347E-2</v>
      </c>
      <c r="I300" s="1">
        <f t="shared" si="167"/>
        <v>7.8380524375417274E-2</v>
      </c>
      <c r="J300" s="1">
        <f t="shared" si="167"/>
        <v>0.1214035068170142</v>
      </c>
      <c r="K300" s="1">
        <f t="shared" si="167"/>
        <v>3.4498755226087212E-4</v>
      </c>
    </row>
    <row r="301" spans="1:13" x14ac:dyDescent="0.35">
      <c r="A301" s="5" t="s">
        <v>5</v>
      </c>
      <c r="B301" s="5" t="str">
        <f t="shared" si="139"/>
        <v>SPS2</v>
      </c>
      <c r="C301" s="5" t="s">
        <v>7</v>
      </c>
      <c r="D301" t="s">
        <v>520</v>
      </c>
      <c r="E301" t="str">
        <f t="shared" si="164"/>
        <v>PJ/yr.</v>
      </c>
      <c r="F301" s="1">
        <f t="shared" ref="F301:K301" si="168">F297</f>
        <v>0.13970392093727879</v>
      </c>
      <c r="G301" s="1">
        <f t="shared" si="168"/>
        <v>6.7534002736082772E-3</v>
      </c>
      <c r="H301" s="1">
        <f t="shared" si="168"/>
        <v>4.9712129229147847E-2</v>
      </c>
      <c r="I301" s="1">
        <f t="shared" si="168"/>
        <v>3.2552053980787286E-3</v>
      </c>
      <c r="J301" s="1">
        <f t="shared" si="168"/>
        <v>0.11995509064031648</v>
      </c>
      <c r="K301" s="1">
        <f t="shared" si="168"/>
        <v>3.1237774447649962E-4</v>
      </c>
    </row>
    <row r="302" spans="1:13" x14ac:dyDescent="0.35">
      <c r="A302" s="5" t="s">
        <v>5</v>
      </c>
      <c r="B302" s="5" t="str">
        <f t="shared" si="139"/>
        <v>SPS2</v>
      </c>
      <c r="C302" s="5" t="s">
        <v>7</v>
      </c>
      <c r="D302" t="s">
        <v>521</v>
      </c>
      <c r="E302" t="str">
        <f t="shared" si="164"/>
        <v>PJ/yr.</v>
      </c>
      <c r="F302" s="1">
        <f t="shared" ref="F302:K302" si="169">F298</f>
        <v>5.6132558099285194E-3</v>
      </c>
      <c r="G302" s="1">
        <f t="shared" si="169"/>
        <v>2.2790536558696846E-3</v>
      </c>
      <c r="H302" s="1">
        <f t="shared" si="169"/>
        <v>6.1328028538826787E-3</v>
      </c>
      <c r="I302" s="1">
        <f t="shared" si="169"/>
        <v>8.4632791625247647E-4</v>
      </c>
      <c r="J302" s="1">
        <f t="shared" si="169"/>
        <v>1.4484161766977204E-3</v>
      </c>
      <c r="K302" s="1">
        <f t="shared" si="169"/>
        <v>3.2609807784372499E-5</v>
      </c>
    </row>
    <row r="303" spans="1:13" x14ac:dyDescent="0.35">
      <c r="A303" s="5" t="s">
        <v>5</v>
      </c>
      <c r="B303" s="5" t="str">
        <f t="shared" si="139"/>
        <v>SPS2</v>
      </c>
      <c r="C303" s="5" t="s">
        <v>7</v>
      </c>
      <c r="D303" t="s">
        <v>522</v>
      </c>
      <c r="E303" t="str">
        <f t="shared" si="164"/>
        <v>PJ/yr.</v>
      </c>
      <c r="F303" s="1">
        <f t="shared" ref="F303:K303" si="170">F299</f>
        <v>2.2032450798354451E-2</v>
      </c>
      <c r="G303" s="1">
        <f t="shared" si="170"/>
        <v>5.2580884201177007E-2</v>
      </c>
      <c r="H303" s="1">
        <f t="shared" si="170"/>
        <v>3.8625887432729468E-3</v>
      </c>
      <c r="I303" s="1">
        <f t="shared" si="170"/>
        <v>7.4278991061086069E-2</v>
      </c>
      <c r="J303" s="1">
        <f t="shared" si="170"/>
        <v>0</v>
      </c>
      <c r="K303" s="1">
        <f t="shared" si="170"/>
        <v>0</v>
      </c>
    </row>
    <row r="304" spans="1:13" x14ac:dyDescent="0.35">
      <c r="A304" s="5" t="s">
        <v>5</v>
      </c>
      <c r="B304" s="5" t="str">
        <f t="shared" si="139"/>
        <v>SPS2</v>
      </c>
      <c r="C304" s="5" t="s">
        <v>7</v>
      </c>
      <c r="D304" t="s">
        <v>850</v>
      </c>
      <c r="E304" t="str">
        <f t="shared" si="164"/>
        <v>PJ/yr.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 x14ac:dyDescent="0.35">
      <c r="A305" s="5" t="s">
        <v>5</v>
      </c>
      <c r="B305" s="5" t="str">
        <f t="shared" si="139"/>
        <v>SPS2</v>
      </c>
      <c r="C305" s="5" t="s">
        <v>7</v>
      </c>
      <c r="D305" t="s">
        <v>544</v>
      </c>
      <c r="E305" t="str">
        <f t="shared" si="164"/>
        <v>PJ/yr.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x14ac:dyDescent="0.35">
      <c r="A306" s="5" t="s">
        <v>5</v>
      </c>
      <c r="B306" s="5" t="str">
        <f t="shared" si="139"/>
        <v>SPS2</v>
      </c>
      <c r="C306" s="5" t="s">
        <v>7</v>
      </c>
      <c r="D306" t="s">
        <v>545</v>
      </c>
      <c r="E306" t="str">
        <f t="shared" si="164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 x14ac:dyDescent="0.35">
      <c r="A307" s="5" t="s">
        <v>5</v>
      </c>
      <c r="B307" s="5" t="str">
        <f t="shared" si="139"/>
        <v>SPS2</v>
      </c>
      <c r="C307" s="5" t="s">
        <v>7</v>
      </c>
      <c r="D307" t="s">
        <v>546</v>
      </c>
      <c r="E307" t="str">
        <f t="shared" si="164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x14ac:dyDescent="0.35">
      <c r="A308" s="5" t="s">
        <v>5</v>
      </c>
      <c r="B308" s="5" t="str">
        <f t="shared" ref="B308:B371" si="171">B307</f>
        <v>SPS2</v>
      </c>
      <c r="C308" s="5" t="s">
        <v>7</v>
      </c>
      <c r="D308" t="s">
        <v>851</v>
      </c>
      <c r="E308" t="str">
        <f t="shared" si="164"/>
        <v>PJ/yr.</v>
      </c>
      <c r="F308" s="1">
        <f>SUM(F309:F323)</f>
        <v>4.0998758717072601</v>
      </c>
      <c r="G308" s="1">
        <f t="shared" ref="G308:K308" si="172">SUM(G309:G323)</f>
        <v>2.1749366686826246</v>
      </c>
      <c r="H308" s="1">
        <f t="shared" si="172"/>
        <v>1.4473508415381988</v>
      </c>
      <c r="I308" s="1">
        <f t="shared" si="172"/>
        <v>1.4284003782469636</v>
      </c>
      <c r="J308" s="1">
        <f t="shared" si="172"/>
        <v>2.4319468293154287</v>
      </c>
      <c r="K308" s="1">
        <f t="shared" si="172"/>
        <v>2.8378332910474251</v>
      </c>
    </row>
    <row r="309" spans="1:11" x14ac:dyDescent="0.35">
      <c r="A309" s="5" t="s">
        <v>5</v>
      </c>
      <c r="B309" s="5" t="str">
        <f t="shared" si="171"/>
        <v>SPS2</v>
      </c>
      <c r="C309" s="5" t="s">
        <v>7</v>
      </c>
      <c r="D309" t="s">
        <v>98</v>
      </c>
      <c r="E309" t="str">
        <f t="shared" si="164"/>
        <v>PJ/yr.</v>
      </c>
      <c r="F309" s="1">
        <f>'[1]Electricity and CHPs_IN'!B$21</f>
        <v>0</v>
      </c>
      <c r="G309" s="1">
        <f>'[1]Electricity and CHPs_IN'!C$21</f>
        <v>0</v>
      </c>
      <c r="H309" s="1">
        <f>'[1]Electricity and CHPs_IN'!D$21</f>
        <v>0</v>
      </c>
      <c r="I309" s="1">
        <f>'[1]Electricity and CHPs_IN'!E$21</f>
        <v>0</v>
      </c>
      <c r="J309" s="1">
        <f>'[1]Electricity and CHPs_IN'!F$21</f>
        <v>1.1984846221977042E-4</v>
      </c>
      <c r="K309" s="1">
        <f>'[1]Electricity and CHPs_IN'!G$21</f>
        <v>3.6081126298880845E-3</v>
      </c>
    </row>
    <row r="310" spans="1:11" x14ac:dyDescent="0.35">
      <c r="A310" s="5" t="s">
        <v>5</v>
      </c>
      <c r="B310" s="5" t="str">
        <f t="shared" si="171"/>
        <v>SPS2</v>
      </c>
      <c r="C310" s="5" t="s">
        <v>7</v>
      </c>
      <c r="D310" t="s">
        <v>99</v>
      </c>
      <c r="E310" t="str">
        <f t="shared" si="164"/>
        <v>PJ/yr.</v>
      </c>
      <c r="F310" s="1">
        <f>'[1]Electricity and CHPs_IN'!B$22</f>
        <v>0</v>
      </c>
      <c r="G310" s="1">
        <f>'[1]Electricity and CHPs_IN'!C$22</f>
        <v>0</v>
      </c>
      <c r="H310" s="1">
        <f>'[1]Electricity and CHPs_IN'!D$22</f>
        <v>0</v>
      </c>
      <c r="I310" s="1">
        <f>'[1]Electricity and CHPs_IN'!E$22</f>
        <v>0</v>
      </c>
      <c r="J310" s="1">
        <f>'[1]Electricity and CHPs_IN'!F$22</f>
        <v>8.6122156342955956E-5</v>
      </c>
      <c r="K310" s="1">
        <f>'[1]Electricity and CHPs_IN'!G$22</f>
        <v>3.7763905219875562E-3</v>
      </c>
    </row>
    <row r="311" spans="1:11" x14ac:dyDescent="0.35">
      <c r="A311" s="5" t="s">
        <v>5</v>
      </c>
      <c r="B311" s="5" t="str">
        <f t="shared" si="171"/>
        <v>SPS2</v>
      </c>
      <c r="C311" s="5" t="s">
        <v>7</v>
      </c>
      <c r="D311" t="s">
        <v>100</v>
      </c>
      <c r="E311" t="str">
        <f t="shared" si="164"/>
        <v>PJ/yr.</v>
      </c>
      <c r="F311" s="1">
        <f>'[1]Electricity and CHPs_IN'!B$23</f>
        <v>0</v>
      </c>
      <c r="G311" s="1">
        <f>'[1]Electricity and CHPs_IN'!C$23</f>
        <v>0</v>
      </c>
      <c r="H311" s="1">
        <f>'[1]Electricity and CHPs_IN'!D$23</f>
        <v>0</v>
      </c>
      <c r="I311" s="1">
        <f>'[1]Electricity and CHPs_IN'!E$23</f>
        <v>0</v>
      </c>
      <c r="J311" s="1">
        <f>'[1]Electricity and CHPs_IN'!F$23</f>
        <v>0</v>
      </c>
      <c r="K311" s="1">
        <f>'[1]Electricity and CHPs_IN'!G$23</f>
        <v>0</v>
      </c>
    </row>
    <row r="312" spans="1:11" x14ac:dyDescent="0.35">
      <c r="A312" s="5" t="s">
        <v>5</v>
      </c>
      <c r="B312" s="5" t="str">
        <f t="shared" si="171"/>
        <v>SPS2</v>
      </c>
      <c r="C312" s="5" t="s">
        <v>7</v>
      </c>
      <c r="D312" t="s">
        <v>101</v>
      </c>
      <c r="E312" t="str">
        <f t="shared" si="164"/>
        <v>PJ/yr.</v>
      </c>
      <c r="F312" s="1">
        <f>IFERROR(F84/SUM(F84+F187),0)*'[1]Electricity and CHPs_IN'!B$24</f>
        <v>1.2958641866773046</v>
      </c>
      <c r="G312" s="1">
        <f>IFERROR(G84/SUM(G84+G187),0)*'[1]Electricity and CHPs_IN'!C$24</f>
        <v>7.9738255482923633E-3</v>
      </c>
      <c r="H312" s="1">
        <f>IFERROR(H84/SUM(H84+H187),0)*'[1]Electricity and CHPs_IN'!D$24</f>
        <v>2.0365677872379397E-2</v>
      </c>
      <c r="I312" s="1">
        <f>IFERROR(I84/SUM(I84+I187),0)*'[1]Electricity and CHPs_IN'!E$24</f>
        <v>0</v>
      </c>
      <c r="J312" s="1">
        <f>IFERROR(J84/SUM(J84+J187),0)*'[1]Electricity and CHPs_IN'!F$24</f>
        <v>0</v>
      </c>
      <c r="K312" s="1">
        <f>IFERROR(K84/SUM(K84+K187),0)*'[1]Electricity and CHPs_IN'!G$24</f>
        <v>0</v>
      </c>
    </row>
    <row r="313" spans="1:11" x14ac:dyDescent="0.35">
      <c r="A313" s="5" t="s">
        <v>5</v>
      </c>
      <c r="B313" s="5" t="str">
        <f t="shared" si="171"/>
        <v>SPS2</v>
      </c>
      <c r="C313" s="5" t="s">
        <v>7</v>
      </c>
      <c r="D313" t="s">
        <v>102</v>
      </c>
      <c r="E313" t="str">
        <f t="shared" si="164"/>
        <v>PJ/yr.</v>
      </c>
      <c r="F313" s="1">
        <f>IFERROR(F85/SUM(F85+F188),0)*'[1]Electricity and CHPs_IN'!B$29</f>
        <v>0</v>
      </c>
      <c r="G313" s="1">
        <f>IFERROR(G85/SUM(G85+G188),0)*'[1]Electricity and CHPs_IN'!C$29</f>
        <v>0</v>
      </c>
      <c r="H313" s="1">
        <f>IFERROR(H85/SUM(H85+H188),0)*'[1]Electricity and CHPs_IN'!D$29</f>
        <v>0</v>
      </c>
      <c r="I313" s="1">
        <f>IFERROR(I85/SUM(I85+I188),0)*'[1]Electricity and CHPs_IN'!E$29</f>
        <v>0</v>
      </c>
      <c r="J313" s="1">
        <f>IFERROR(J85/SUM(J85+J188),0)*'[1]Electricity and CHPs_IN'!F$29</f>
        <v>0</v>
      </c>
      <c r="K313" s="1">
        <f>IFERROR(K85/SUM(K85+K188),0)*'[1]Electricity and CHPs_IN'!G$29</f>
        <v>0</v>
      </c>
    </row>
    <row r="314" spans="1:11" x14ac:dyDescent="0.35">
      <c r="A314" s="5" t="s">
        <v>5</v>
      </c>
      <c r="B314" s="5" t="str">
        <f t="shared" si="171"/>
        <v>SPS2</v>
      </c>
      <c r="C314" s="5" t="s">
        <v>7</v>
      </c>
      <c r="D314" t="s">
        <v>103</v>
      </c>
      <c r="E314" t="str">
        <f t="shared" si="164"/>
        <v>PJ/yr.</v>
      </c>
      <c r="F314" s="1">
        <f>F86/SUM(F86,F239)*'[1]Electricity and CHPs_IN'!B$39</f>
        <v>0.89336531649241213</v>
      </c>
      <c r="G314" s="1">
        <f>G86/SUM(G86,G239)*'[1]Electricity and CHPs_IN'!C$39</f>
        <v>0.10736768102643879</v>
      </c>
      <c r="H314" s="1">
        <f>H86/SUM(H86,H239)*'[1]Electricity and CHPs_IN'!D$39</f>
        <v>7.0222556929622121E-2</v>
      </c>
      <c r="I314" s="1">
        <f>I86/SUM(I86,I239)*'[1]Electricity and CHPs_IN'!E$39</f>
        <v>3.3018782354041792E-2</v>
      </c>
      <c r="J314" s="1">
        <f>J86/SUM(J86,J239)*'[1]Electricity and CHPs_IN'!F$39</f>
        <v>0.86498021644413725</v>
      </c>
      <c r="K314" s="1">
        <f>K86/SUM(K86,K239)*'[1]Electricity and CHPs_IN'!G$39</f>
        <v>0.94581166511395542</v>
      </c>
    </row>
    <row r="315" spans="1:11" x14ac:dyDescent="0.35">
      <c r="A315" s="5" t="s">
        <v>5</v>
      </c>
      <c r="B315" s="5" t="str">
        <f t="shared" si="171"/>
        <v>SPS2</v>
      </c>
      <c r="C315" s="5" t="s">
        <v>7</v>
      </c>
      <c r="D315" t="s">
        <v>104</v>
      </c>
      <c r="E315" t="str">
        <f t="shared" si="164"/>
        <v>PJ/yr.</v>
      </c>
      <c r="F315" s="1">
        <f>IFERROR(F87/SUM(F87,F240),0)*'[1]Electricity and CHPs_IN'!B$40</f>
        <v>0</v>
      </c>
      <c r="G315" s="1">
        <f>IFERROR(G87/SUM(G87,G240),0)*'[1]Electricity and CHPs_IN'!C$40</f>
        <v>0</v>
      </c>
      <c r="H315" s="1">
        <f>IFERROR(H87/SUM(H87,H240),0)*'[1]Electricity and CHPs_IN'!D$40</f>
        <v>0</v>
      </c>
      <c r="I315" s="1">
        <f>IFERROR(I87/SUM(I87,I240),0)*'[1]Electricity and CHPs_IN'!E$40</f>
        <v>0</v>
      </c>
      <c r="J315" s="1">
        <f>IFERROR(J87/SUM(J87,J240),0)*'[1]Electricity and CHPs_IN'!F$40</f>
        <v>4.2181524870508096E-3</v>
      </c>
      <c r="K315" s="1">
        <f>IFERROR(K87/SUM(K87,K240),0)*'[1]Electricity and CHPs_IN'!G$40</f>
        <v>0.36945058024766791</v>
      </c>
    </row>
    <row r="316" spans="1:11" x14ac:dyDescent="0.35">
      <c r="A316" s="5" t="s">
        <v>5</v>
      </c>
      <c r="B316" s="5" t="str">
        <f t="shared" si="171"/>
        <v>SPS2</v>
      </c>
      <c r="C316" s="5" t="s">
        <v>7</v>
      </c>
      <c r="D316" t="s">
        <v>105</v>
      </c>
      <c r="E316" t="str">
        <f t="shared" si="164"/>
        <v>PJ/yr.</v>
      </c>
      <c r="F316" s="1">
        <f>IFERROR(F88/SUM(F88,F241),0)*'[1]Electricity and CHPs_IN'!$B$47</f>
        <v>0</v>
      </c>
      <c r="G316" s="1">
        <f>IFERROR(G88/SUM(G88,G241),0)*'[1]Electricity and CHPs_IN'!$B$47</f>
        <v>0</v>
      </c>
      <c r="H316" s="1">
        <f>IFERROR(H88/SUM(H88,H241),0)*'[1]Electricity and CHPs_IN'!$B$47</f>
        <v>0</v>
      </c>
      <c r="I316" s="1">
        <f>IFERROR(I88/SUM(I88,I241),0)*'[1]Electricity and CHPs_IN'!$B$47</f>
        <v>0</v>
      </c>
      <c r="J316" s="1">
        <f>IFERROR(J88/SUM(J88,J241),0)*'[1]Electricity and CHPs_IN'!$B$47</f>
        <v>0</v>
      </c>
      <c r="K316" s="1">
        <f>IFERROR(K88/SUM(K88,K241),0)*'[1]Electricity and CHPs_IN'!$B$47</f>
        <v>0</v>
      </c>
    </row>
    <row r="317" spans="1:11" x14ac:dyDescent="0.35">
      <c r="A317" s="5" t="s">
        <v>5</v>
      </c>
      <c r="B317" s="5" t="str">
        <f t="shared" si="171"/>
        <v>SPS2</v>
      </c>
      <c r="C317" s="5" t="s">
        <v>7</v>
      </c>
      <c r="D317" t="s">
        <v>106</v>
      </c>
      <c r="E317" t="str">
        <f t="shared" si="164"/>
        <v>PJ/yr.</v>
      </c>
      <c r="F317" s="1">
        <f>F89/SUM(F89,F242)*'[1]Electricity and CHPs_IN'!B$48</f>
        <v>2.5063303862452556E-2</v>
      </c>
      <c r="G317" s="1">
        <f>G89/SUM(G89,G242)*'[1]Electricity and CHPs_IN'!C$48</f>
        <v>5.2111664061786399E-3</v>
      </c>
      <c r="H317" s="1">
        <f>H89/SUM(H89,H242)*'[1]Electricity and CHPs_IN'!D$48</f>
        <v>1.3352742547485381E-2</v>
      </c>
      <c r="I317" s="1">
        <f>I89/SUM(I89,I242)*'[1]Electricity and CHPs_IN'!E$48</f>
        <v>4.4718460068477548E-3</v>
      </c>
      <c r="J317" s="1">
        <f>J89/SUM(J89,J242)*'[1]Electricity and CHPs_IN'!F$48</f>
        <v>3.1091081594059292E-3</v>
      </c>
      <c r="K317" s="1">
        <f>K89/SUM(K89,K242)*'[1]Electricity and CHPs_IN'!G$48</f>
        <v>0</v>
      </c>
    </row>
    <row r="318" spans="1:11" x14ac:dyDescent="0.35">
      <c r="A318" s="5" t="s">
        <v>5</v>
      </c>
      <c r="B318" s="5" t="str">
        <f t="shared" si="171"/>
        <v>SPS2</v>
      </c>
      <c r="C318" s="5" t="s">
        <v>7</v>
      </c>
      <c r="D318" t="s">
        <v>107</v>
      </c>
      <c r="E318" t="str">
        <f t="shared" si="164"/>
        <v>PJ/yr.</v>
      </c>
      <c r="F318" s="1">
        <f>IFERROR(F90/SUM(F90,F243),0)*'[1]Electricity and CHPs_IN'!B$49</f>
        <v>0</v>
      </c>
      <c r="G318" s="1">
        <f>IFERROR(G90/SUM(G90,G243),0)*'[1]Electricity and CHPs_IN'!C$49</f>
        <v>0</v>
      </c>
      <c r="H318" s="1">
        <f>IFERROR(H90/SUM(H90,H243),0)*'[1]Electricity and CHPs_IN'!D$49</f>
        <v>0</v>
      </c>
      <c r="I318" s="1">
        <f>IFERROR(I90/SUM(I90,I243),0)*'[1]Electricity and CHPs_IN'!E$49</f>
        <v>0</v>
      </c>
      <c r="J318" s="1">
        <f>IFERROR(J90/SUM(J90,J243),0)*'[1]Electricity and CHPs_IN'!F$49</f>
        <v>0</v>
      </c>
      <c r="K318" s="1">
        <f>IFERROR(K90/SUM(K90,K243),0)*'[1]Electricity and CHPs_IN'!G$49</f>
        <v>0</v>
      </c>
    </row>
    <row r="319" spans="1:11" x14ac:dyDescent="0.35">
      <c r="A319" s="5" t="s">
        <v>5</v>
      </c>
      <c r="B319" s="5" t="str">
        <f t="shared" si="171"/>
        <v>SPS2</v>
      </c>
      <c r="C319" s="5" t="s">
        <v>7</v>
      </c>
      <c r="D319" t="s">
        <v>108</v>
      </c>
      <c r="E319" t="str">
        <f t="shared" si="164"/>
        <v>PJ/yr.</v>
      </c>
      <c r="F319" s="1">
        <f>IFERROR(F91/SUM(F91,F244),0)*'[1]Electricity and CHPs_IN'!B$51</f>
        <v>3.4465621150661527E-2</v>
      </c>
      <c r="G319" s="1">
        <f>IFERROR(G91/SUM(G91,G244),0)*'[1]Electricity and CHPs_IN'!C$51</f>
        <v>7.7062330895352332E-3</v>
      </c>
      <c r="H319" s="1">
        <f>IFERROR(H91/SUM(H91,H244),0)*'[1]Electricity and CHPs_IN'!D$51</f>
        <v>2.4322754144744555E-2</v>
      </c>
      <c r="I319" s="1">
        <f>IFERROR(I91/SUM(I91,I244),0)*'[1]Electricity and CHPs_IN'!E$51</f>
        <v>7.8624885598175872E-3</v>
      </c>
      <c r="J319" s="1">
        <f>IFERROR(J91/SUM(J91,J244),0)*'[1]Electricity and CHPs_IN'!F$51</f>
        <v>1.2109122778692251E-2</v>
      </c>
      <c r="K319" s="1">
        <f>IFERROR(K91/SUM(K91,K244),0)*'[1]Electricity and CHPs_IN'!G$51</f>
        <v>0</v>
      </c>
    </row>
    <row r="320" spans="1:11" x14ac:dyDescent="0.35">
      <c r="A320" s="5" t="s">
        <v>5</v>
      </c>
      <c r="B320" s="5" t="str">
        <f t="shared" si="171"/>
        <v>SPS2</v>
      </c>
      <c r="C320" s="5" t="s">
        <v>7</v>
      </c>
      <c r="D320" t="s">
        <v>109</v>
      </c>
      <c r="E320" t="str">
        <f t="shared" si="164"/>
        <v>PJ/yr.</v>
      </c>
      <c r="F320" s="1">
        <f>IFERROR(F92/SUM(F92,F245),0)*'[1]Electricity and CHPs_IN'!B$52</f>
        <v>0</v>
      </c>
      <c r="G320" s="1">
        <f>IFERROR(G92/SUM(G92,G245),0)*'[1]Electricity and CHPs_IN'!C$52</f>
        <v>0</v>
      </c>
      <c r="H320" s="1">
        <f>IFERROR(H92/SUM(H92,H245),0)*'[1]Electricity and CHPs_IN'!D$52</f>
        <v>0</v>
      </c>
      <c r="I320" s="1">
        <f>IFERROR(I92/SUM(I92,I245),0)*'[1]Electricity and CHPs_IN'!E$52</f>
        <v>0</v>
      </c>
      <c r="J320" s="1">
        <f>IFERROR(J92/SUM(J92,J245),0)*'[1]Electricity and CHPs_IN'!F$52</f>
        <v>0</v>
      </c>
      <c r="K320" s="1">
        <f>IFERROR(K92/SUM(K92,K245),0)*'[1]Electricity and CHPs_IN'!G$52</f>
        <v>0</v>
      </c>
    </row>
    <row r="321" spans="1:11" x14ac:dyDescent="0.35">
      <c r="A321" s="5" t="s">
        <v>5</v>
      </c>
      <c r="B321" s="5" t="str">
        <f t="shared" si="171"/>
        <v>SPS2</v>
      </c>
      <c r="C321" s="5" t="s">
        <v>7</v>
      </c>
      <c r="D321" t="s">
        <v>110</v>
      </c>
      <c r="E321" t="str">
        <f t="shared" si="164"/>
        <v>PJ/yr.</v>
      </c>
      <c r="F321" s="1">
        <f>IFERROR(F93/SUM(F93,F246),0)*'[1]Electricity and CHPs_IN'!B$54</f>
        <v>1.0647130746374667</v>
      </c>
      <c r="G321" s="1">
        <f>IFERROR(G93/SUM(G93,G246),0)*'[1]Electricity and CHPs_IN'!C$54</f>
        <v>1.2554472518552391</v>
      </c>
      <c r="H321" s="1">
        <f>IFERROR(H93/SUM(H93,H246),0)*'[1]Electricity and CHPs_IN'!D$54</f>
        <v>1.3020801953577923</v>
      </c>
      <c r="I321" s="1">
        <f>IFERROR(I93/SUM(I93,I246),0)*'[1]Electricity and CHPs_IN'!E$54</f>
        <v>1.380414413239224</v>
      </c>
      <c r="J321" s="1">
        <f>IFERROR(J93/SUM(J93,J246),0)*'[1]Electricity and CHPs_IN'!F$54</f>
        <v>1.5451225653090601</v>
      </c>
      <c r="K321" s="1">
        <f>IFERROR(K93/SUM(K93,K246),0)*'[1]Electricity and CHPs_IN'!G$54</f>
        <v>1.5151865425339262</v>
      </c>
    </row>
    <row r="322" spans="1:11" x14ac:dyDescent="0.35">
      <c r="A322" s="5" t="s">
        <v>5</v>
      </c>
      <c r="B322" s="5" t="str">
        <f t="shared" si="171"/>
        <v>SPS2</v>
      </c>
      <c r="C322" s="5" t="s">
        <v>7</v>
      </c>
      <c r="D322" t="s">
        <v>111</v>
      </c>
      <c r="E322" t="str">
        <f t="shared" si="164"/>
        <v>PJ/yr.</v>
      </c>
      <c r="F322" s="1">
        <f>IFERROR(F94/SUM(F94,F247),0)*'[1]Electricity and CHPs_IN'!B$55</f>
        <v>0.78640436888696297</v>
      </c>
      <c r="G322" s="1">
        <f>IFERROR(G94/SUM(G94,G247),0)*'[1]Electricity and CHPs_IN'!C$55</f>
        <v>0.79123051075694051</v>
      </c>
      <c r="H322" s="1">
        <f>IFERROR(H94/SUM(H94,H247),0)*'[1]Electricity and CHPs_IN'!D$55</f>
        <v>1.7006914686175177E-2</v>
      </c>
      <c r="I322" s="1">
        <f>IFERROR(I94/SUM(I94,I247),0)*'[1]Electricity and CHPs_IN'!E$55</f>
        <v>2.6328480870326477E-3</v>
      </c>
      <c r="J322" s="1">
        <f>IFERROR(J94/SUM(J94,J247),0)*'[1]Electricity and CHPs_IN'!F$55</f>
        <v>2.2016935185192876E-3</v>
      </c>
      <c r="K322" s="1">
        <f>IFERROR(K94/SUM(K94,K247),0)*'[1]Electricity and CHPs_IN'!G$55</f>
        <v>0</v>
      </c>
    </row>
    <row r="323" spans="1:11" x14ac:dyDescent="0.35">
      <c r="A323" s="5" t="s">
        <v>5</v>
      </c>
      <c r="B323" s="5" t="str">
        <f t="shared" si="171"/>
        <v>SPS2</v>
      </c>
      <c r="C323" s="5" t="s">
        <v>7</v>
      </c>
      <c r="D323" t="s">
        <v>112</v>
      </c>
      <c r="E323" t="str">
        <f t="shared" si="164"/>
        <v>PJ/yr.</v>
      </c>
      <c r="F323" s="1">
        <f>IFERROR(F95/SUM(F95,F248),0)*'[1]Electricity and CHPs_IN'!B$58</f>
        <v>0</v>
      </c>
      <c r="G323" s="1">
        <f>IFERROR(G95/SUM(G95,G248),0)*'[1]Electricity and CHPs_IN'!C$58</f>
        <v>0</v>
      </c>
      <c r="H323" s="1">
        <f>IFERROR(H95/SUM(H95,H248),0)*'[1]Electricity and CHPs_IN'!D$58</f>
        <v>0</v>
      </c>
      <c r="I323" s="1">
        <f>IFERROR(I95/SUM(I95,I248),0)*'[1]Electricity and CHPs_IN'!E$58</f>
        <v>0</v>
      </c>
      <c r="J323" s="1">
        <f>IFERROR(J95/SUM(J95,J248),0)*'[1]Electricity and CHPs_IN'!F$58</f>
        <v>0</v>
      </c>
      <c r="K323" s="1">
        <f>IFERROR(K95/SUM(K95,K248),0)*'[1]Electricity and CHPs_IN'!G$58</f>
        <v>0</v>
      </c>
    </row>
    <row r="324" spans="1:11" x14ac:dyDescent="0.35">
      <c r="A324" s="5" t="s">
        <v>5</v>
      </c>
      <c r="B324" s="5" t="str">
        <f t="shared" si="171"/>
        <v>SPS2</v>
      </c>
      <c r="C324" s="5" t="s">
        <v>7</v>
      </c>
      <c r="D324" t="s">
        <v>852</v>
      </c>
      <c r="E324" t="str">
        <f t="shared" si="164"/>
        <v>PJ/yr.</v>
      </c>
      <c r="F324" s="1">
        <f>F308-F340</f>
        <v>2.9571955912847039</v>
      </c>
      <c r="G324" s="1">
        <f t="shared" ref="G324:K324" si="173">G308-G340</f>
        <v>0.90112007892326407</v>
      </c>
      <c r="H324" s="1">
        <f t="shared" si="173"/>
        <v>0.14255244989916305</v>
      </c>
      <c r="I324" s="1">
        <f t="shared" si="173"/>
        <v>4.4108102294820428E-2</v>
      </c>
      <c r="J324" s="1">
        <f t="shared" si="173"/>
        <v>0.52844704329021641</v>
      </c>
      <c r="K324" s="1">
        <f t="shared" si="173"/>
        <v>0.50680653749077598</v>
      </c>
    </row>
    <row r="325" spans="1:11" x14ac:dyDescent="0.35">
      <c r="A325" s="5" t="s">
        <v>5</v>
      </c>
      <c r="B325" s="5" t="str">
        <f t="shared" si="171"/>
        <v>SPS2</v>
      </c>
      <c r="C325" s="5" t="s">
        <v>7</v>
      </c>
      <c r="D325" t="s">
        <v>579</v>
      </c>
      <c r="E325" t="str">
        <f t="shared" si="164"/>
        <v>PJ/yr.</v>
      </c>
      <c r="F325" s="1">
        <f>IFERROR(F97/F81,0)*F309</f>
        <v>0</v>
      </c>
      <c r="G325" s="1">
        <f t="shared" ref="G325:K325" si="174">IFERROR(G97/G81,0)*G309</f>
        <v>0</v>
      </c>
      <c r="H325" s="1">
        <f t="shared" si="174"/>
        <v>0</v>
      </c>
      <c r="I325" s="1">
        <f t="shared" si="174"/>
        <v>0</v>
      </c>
      <c r="J325" s="1">
        <f t="shared" si="174"/>
        <v>7.1416139672134666E-5</v>
      </c>
      <c r="K325" s="1">
        <f t="shared" si="174"/>
        <v>1.3825422932354911E-3</v>
      </c>
    </row>
    <row r="326" spans="1:11" x14ac:dyDescent="0.35">
      <c r="A326" s="5" t="s">
        <v>5</v>
      </c>
      <c r="B326" s="5" t="str">
        <f t="shared" si="171"/>
        <v>SPS2</v>
      </c>
      <c r="C326" s="5" t="s">
        <v>7</v>
      </c>
      <c r="D326" t="s">
        <v>580</v>
      </c>
      <c r="E326" t="str">
        <f t="shared" si="164"/>
        <v>PJ/yr.</v>
      </c>
      <c r="F326" s="1">
        <f t="shared" ref="F326:K326" si="175">IFERROR(F98/F82,0)*F310</f>
        <v>0</v>
      </c>
      <c r="G326" s="1">
        <f t="shared" si="175"/>
        <v>0</v>
      </c>
      <c r="H326" s="1">
        <f t="shared" si="175"/>
        <v>0</v>
      </c>
      <c r="I326" s="1">
        <f t="shared" si="175"/>
        <v>0</v>
      </c>
      <c r="J326" s="1">
        <f t="shared" si="175"/>
        <v>5.1319072705126127E-5</v>
      </c>
      <c r="K326" s="1">
        <f t="shared" si="175"/>
        <v>1.4470223487960778E-3</v>
      </c>
    </row>
    <row r="327" spans="1:11" x14ac:dyDescent="0.35">
      <c r="A327" s="5" t="s">
        <v>5</v>
      </c>
      <c r="B327" s="5" t="str">
        <f t="shared" si="171"/>
        <v>SPS2</v>
      </c>
      <c r="C327" s="5" t="s">
        <v>7</v>
      </c>
      <c r="D327" t="s">
        <v>581</v>
      </c>
      <c r="E327" t="str">
        <f t="shared" si="164"/>
        <v>PJ/yr.</v>
      </c>
      <c r="F327" s="1">
        <f t="shared" ref="F327:K327" si="176">IFERROR(F99/F83,0)*F311</f>
        <v>0</v>
      </c>
      <c r="G327" s="1">
        <f t="shared" si="176"/>
        <v>0</v>
      </c>
      <c r="H327" s="1">
        <f t="shared" si="176"/>
        <v>0</v>
      </c>
      <c r="I327" s="1">
        <f t="shared" si="176"/>
        <v>0</v>
      </c>
      <c r="J327" s="1">
        <f t="shared" si="176"/>
        <v>0</v>
      </c>
      <c r="K327" s="1">
        <f t="shared" si="176"/>
        <v>0</v>
      </c>
    </row>
    <row r="328" spans="1:11" x14ac:dyDescent="0.35">
      <c r="A328" s="5" t="s">
        <v>5</v>
      </c>
      <c r="B328" s="5" t="str">
        <f t="shared" si="171"/>
        <v>SPS2</v>
      </c>
      <c r="C328" s="5" t="s">
        <v>7</v>
      </c>
      <c r="D328" t="s">
        <v>582</v>
      </c>
      <c r="E328" t="str">
        <f t="shared" si="164"/>
        <v>PJ/yr.</v>
      </c>
      <c r="F328" s="1">
        <f t="shared" ref="F328:K328" si="177">IFERROR(F100/F84,0)*F312</f>
        <v>1.2625760514215159</v>
      </c>
      <c r="G328" s="1">
        <f t="shared" si="177"/>
        <v>7.8145263837728907E-3</v>
      </c>
      <c r="H328" s="1">
        <f t="shared" si="177"/>
        <v>1.9984610455711059E-2</v>
      </c>
      <c r="I328" s="1">
        <f t="shared" si="177"/>
        <v>0</v>
      </c>
      <c r="J328" s="1">
        <f t="shared" si="177"/>
        <v>0</v>
      </c>
      <c r="K328" s="1">
        <f t="shared" si="177"/>
        <v>0</v>
      </c>
    </row>
    <row r="329" spans="1:11" x14ac:dyDescent="0.35">
      <c r="A329" s="5" t="s">
        <v>5</v>
      </c>
      <c r="B329" s="5" t="str">
        <f t="shared" si="171"/>
        <v>SPS2</v>
      </c>
      <c r="C329" s="5" t="s">
        <v>7</v>
      </c>
      <c r="D329" t="s">
        <v>583</v>
      </c>
      <c r="E329" t="str">
        <f t="shared" si="164"/>
        <v>PJ/yr.</v>
      </c>
      <c r="F329" s="1">
        <f t="shared" ref="F329:K329" si="178">IFERROR(F101/F85,0)*F313</f>
        <v>0</v>
      </c>
      <c r="G329" s="1">
        <f t="shared" si="178"/>
        <v>0</v>
      </c>
      <c r="H329" s="1">
        <f t="shared" si="178"/>
        <v>0</v>
      </c>
      <c r="I329" s="1">
        <f t="shared" si="178"/>
        <v>0</v>
      </c>
      <c r="J329" s="1">
        <f t="shared" si="178"/>
        <v>0</v>
      </c>
      <c r="K329" s="1">
        <f t="shared" si="178"/>
        <v>0</v>
      </c>
    </row>
    <row r="330" spans="1:11" x14ac:dyDescent="0.35">
      <c r="A330" s="5" t="s">
        <v>5</v>
      </c>
      <c r="B330" s="5" t="str">
        <f t="shared" si="171"/>
        <v>SPS2</v>
      </c>
      <c r="C330" s="5" t="s">
        <v>7</v>
      </c>
      <c r="D330" t="s">
        <v>584</v>
      </c>
      <c r="E330" t="str">
        <f t="shared" si="164"/>
        <v>PJ/yr.</v>
      </c>
      <c r="F330" s="1">
        <f t="shared" ref="F330:K330" si="179">IFERROR(F102/F86,0)*F314</f>
        <v>0.8704165647682971</v>
      </c>
      <c r="G330" s="1">
        <f t="shared" si="179"/>
        <v>0.10522271537847978</v>
      </c>
      <c r="H330" s="1">
        <f t="shared" si="179"/>
        <v>6.8908604674818547E-2</v>
      </c>
      <c r="I330" s="1">
        <f t="shared" si="179"/>
        <v>3.0350454127318013E-2</v>
      </c>
      <c r="J330" s="1">
        <f t="shared" si="179"/>
        <v>0.51543045949084787</v>
      </c>
      <c r="K330" s="1">
        <f t="shared" si="179"/>
        <v>0.3624123641883335</v>
      </c>
    </row>
    <row r="331" spans="1:11" x14ac:dyDescent="0.35">
      <c r="A331" s="5" t="s">
        <v>5</v>
      </c>
      <c r="B331" s="5" t="str">
        <f t="shared" si="171"/>
        <v>SPS2</v>
      </c>
      <c r="C331" s="5" t="s">
        <v>7</v>
      </c>
      <c r="D331" t="s">
        <v>585</v>
      </c>
      <c r="E331" t="str">
        <f t="shared" si="164"/>
        <v>PJ/yr.</v>
      </c>
      <c r="F331" s="1">
        <f t="shared" ref="F331:K331" si="180">IFERROR(F103/F87,0)*F315</f>
        <v>0</v>
      </c>
      <c r="G331" s="1">
        <f t="shared" si="180"/>
        <v>0</v>
      </c>
      <c r="H331" s="1">
        <f t="shared" si="180"/>
        <v>0</v>
      </c>
      <c r="I331" s="1">
        <f t="shared" si="180"/>
        <v>0</v>
      </c>
      <c r="J331" s="1">
        <f t="shared" si="180"/>
        <v>2.5135421981567069E-3</v>
      </c>
      <c r="K331" s="1">
        <f t="shared" si="180"/>
        <v>0.14156460866041115</v>
      </c>
    </row>
    <row r="332" spans="1:11" x14ac:dyDescent="0.35">
      <c r="A332" s="5" t="s">
        <v>5</v>
      </c>
      <c r="B332" s="5" t="str">
        <f t="shared" si="171"/>
        <v>SPS2</v>
      </c>
      <c r="C332" s="5" t="s">
        <v>7</v>
      </c>
      <c r="D332" t="s">
        <v>586</v>
      </c>
      <c r="E332" t="str">
        <f t="shared" si="164"/>
        <v>PJ/yr.</v>
      </c>
      <c r="F332" s="1">
        <f t="shared" ref="F332:K332" si="181">IFERROR(F104/F88,0)*F316</f>
        <v>0</v>
      </c>
      <c r="G332" s="1">
        <f t="shared" si="181"/>
        <v>0</v>
      </c>
      <c r="H332" s="1">
        <f t="shared" si="181"/>
        <v>0</v>
      </c>
      <c r="I332" s="1">
        <f t="shared" si="181"/>
        <v>0</v>
      </c>
      <c r="J332" s="1">
        <f t="shared" si="181"/>
        <v>0</v>
      </c>
      <c r="K332" s="1">
        <f t="shared" si="181"/>
        <v>0</v>
      </c>
    </row>
    <row r="333" spans="1:11" x14ac:dyDescent="0.35">
      <c r="A333" s="5" t="s">
        <v>5</v>
      </c>
      <c r="B333" s="5" t="str">
        <f t="shared" si="171"/>
        <v>SPS2</v>
      </c>
      <c r="C333" s="5" t="s">
        <v>7</v>
      </c>
      <c r="D333" t="s">
        <v>587</v>
      </c>
      <c r="E333" t="str">
        <f t="shared" si="164"/>
        <v>PJ/yr.</v>
      </c>
      <c r="F333" s="1">
        <f t="shared" ref="F333:K333" si="182">IFERROR(F105/F89,0)*F317</f>
        <v>2.4419478176468067E-2</v>
      </c>
      <c r="G333" s="1">
        <f t="shared" si="182"/>
        <v>5.107058979994231E-3</v>
      </c>
      <c r="H333" s="1">
        <f t="shared" si="182"/>
        <v>1.3102895960502459E-2</v>
      </c>
      <c r="I333" s="1">
        <f t="shared" si="182"/>
        <v>4.110465238844562E-3</v>
      </c>
      <c r="J333" s="1">
        <f t="shared" si="182"/>
        <v>1.8526771095380742E-3</v>
      </c>
      <c r="K333" s="1">
        <f t="shared" si="182"/>
        <v>0</v>
      </c>
    </row>
    <row r="334" spans="1:11" x14ac:dyDescent="0.35">
      <c r="A334" s="5" t="s">
        <v>5</v>
      </c>
      <c r="B334" s="5" t="str">
        <f t="shared" si="171"/>
        <v>SPS2</v>
      </c>
      <c r="C334" s="5" t="s">
        <v>7</v>
      </c>
      <c r="D334" t="s">
        <v>588</v>
      </c>
      <c r="E334" t="str">
        <f t="shared" si="164"/>
        <v>PJ/yr.</v>
      </c>
      <c r="F334" s="1">
        <f t="shared" ref="F334:K334" si="183">IFERROR(F106/F90,0)*F318</f>
        <v>0</v>
      </c>
      <c r="G334" s="1">
        <f t="shared" si="183"/>
        <v>0</v>
      </c>
      <c r="H334" s="1">
        <f t="shared" si="183"/>
        <v>0</v>
      </c>
      <c r="I334" s="1">
        <f t="shared" si="183"/>
        <v>0</v>
      </c>
      <c r="J334" s="1">
        <f t="shared" si="183"/>
        <v>0</v>
      </c>
      <c r="K334" s="1">
        <f t="shared" si="183"/>
        <v>0</v>
      </c>
    </row>
    <row r="335" spans="1:11" x14ac:dyDescent="0.35">
      <c r="A335" s="5" t="s">
        <v>5</v>
      </c>
      <c r="B335" s="5" t="str">
        <f t="shared" si="171"/>
        <v>SPS2</v>
      </c>
      <c r="C335" s="5" t="s">
        <v>7</v>
      </c>
      <c r="D335" t="s">
        <v>589</v>
      </c>
      <c r="E335" t="str">
        <f t="shared" si="164"/>
        <v>PJ/yr.</v>
      </c>
      <c r="F335" s="1">
        <f t="shared" ref="F335:K335" si="184">IFERROR(F107/F91,0)*F319</f>
        <v>3.358026891210654E-2</v>
      </c>
      <c r="G335" s="1">
        <f t="shared" si="184"/>
        <v>7.5522798226471495E-3</v>
      </c>
      <c r="H335" s="1">
        <f t="shared" si="184"/>
        <v>2.3867644860080518E-2</v>
      </c>
      <c r="I335" s="1">
        <f t="shared" si="184"/>
        <v>7.2271017084340151E-3</v>
      </c>
      <c r="J335" s="1">
        <f t="shared" si="184"/>
        <v>7.2156687507956728E-3</v>
      </c>
      <c r="K335" s="1">
        <f t="shared" si="184"/>
        <v>0</v>
      </c>
    </row>
    <row r="336" spans="1:11" x14ac:dyDescent="0.35">
      <c r="A336" s="5" t="s">
        <v>5</v>
      </c>
      <c r="B336" s="5" t="str">
        <f t="shared" si="171"/>
        <v>SPS2</v>
      </c>
      <c r="C336" s="5" t="s">
        <v>7</v>
      </c>
      <c r="D336" t="s">
        <v>590</v>
      </c>
      <c r="E336" t="str">
        <f t="shared" si="164"/>
        <v>PJ/yr.</v>
      </c>
      <c r="F336" s="1">
        <f t="shared" ref="F336:K336" si="185">IFERROR(F108/F92,0)*F320</f>
        <v>0</v>
      </c>
      <c r="G336" s="1">
        <f t="shared" si="185"/>
        <v>0</v>
      </c>
      <c r="H336" s="1">
        <f t="shared" si="185"/>
        <v>0</v>
      </c>
      <c r="I336" s="1">
        <f t="shared" si="185"/>
        <v>0</v>
      </c>
      <c r="J336" s="1">
        <f t="shared" si="185"/>
        <v>0</v>
      </c>
      <c r="K336" s="1">
        <f t="shared" si="185"/>
        <v>0</v>
      </c>
    </row>
    <row r="337" spans="1:11" x14ac:dyDescent="0.35">
      <c r="A337" s="5" t="s">
        <v>5</v>
      </c>
      <c r="B337" s="5" t="str">
        <f t="shared" si="171"/>
        <v>SPS2</v>
      </c>
      <c r="C337" s="5" t="s">
        <v>7</v>
      </c>
      <c r="D337" t="s">
        <v>591</v>
      </c>
      <c r="E337" t="str">
        <f t="shared" si="164"/>
        <v>PJ/yr.</v>
      </c>
      <c r="F337" s="1">
        <f t="shared" ref="F337:K337" si="186">IFERROR(F109/F93,0)*F321</f>
        <v>0</v>
      </c>
      <c r="G337" s="1">
        <f t="shared" si="186"/>
        <v>0</v>
      </c>
      <c r="H337" s="1">
        <f t="shared" si="186"/>
        <v>0</v>
      </c>
      <c r="I337" s="1">
        <f t="shared" si="186"/>
        <v>0</v>
      </c>
      <c r="J337" s="1">
        <f t="shared" si="186"/>
        <v>0</v>
      </c>
      <c r="K337" s="1">
        <f t="shared" si="186"/>
        <v>0</v>
      </c>
    </row>
    <row r="338" spans="1:11" x14ac:dyDescent="0.35">
      <c r="A338" s="5" t="s">
        <v>5</v>
      </c>
      <c r="B338" s="5" t="str">
        <f t="shared" si="171"/>
        <v>SPS2</v>
      </c>
      <c r="C338" s="5" t="s">
        <v>7</v>
      </c>
      <c r="D338" t="s">
        <v>592</v>
      </c>
      <c r="E338" t="str">
        <f t="shared" si="164"/>
        <v>PJ/yr.</v>
      </c>
      <c r="F338" s="1">
        <f t="shared" ref="F338:K338" si="187">IFERROR(F110/F94,0)*F322</f>
        <v>0.76620322800631668</v>
      </c>
      <c r="G338" s="1">
        <f t="shared" si="187"/>
        <v>0.77542349835836999</v>
      </c>
      <c r="H338" s="1">
        <f t="shared" si="187"/>
        <v>1.6688693948050424E-2</v>
      </c>
      <c r="I338" s="1">
        <f t="shared" si="187"/>
        <v>2.4200812202240371E-3</v>
      </c>
      <c r="J338" s="1">
        <f t="shared" si="187"/>
        <v>1.3119605285003735E-3</v>
      </c>
      <c r="K338" s="1">
        <f t="shared" si="187"/>
        <v>0</v>
      </c>
    </row>
    <row r="339" spans="1:11" x14ac:dyDescent="0.35">
      <c r="A339" s="5" t="s">
        <v>5</v>
      </c>
      <c r="B339" s="5" t="str">
        <f t="shared" si="171"/>
        <v>SPS2</v>
      </c>
      <c r="C339" s="5" t="s">
        <v>7</v>
      </c>
      <c r="D339" t="s">
        <v>593</v>
      </c>
      <c r="E339" t="str">
        <f t="shared" si="164"/>
        <v>PJ/yr.</v>
      </c>
      <c r="F339" s="1">
        <f t="shared" ref="F339:K339" si="188">IFERROR(F111/F95,0)*F323</f>
        <v>0</v>
      </c>
      <c r="G339" s="1">
        <f t="shared" si="188"/>
        <v>0</v>
      </c>
      <c r="H339" s="1">
        <f t="shared" si="188"/>
        <v>0</v>
      </c>
      <c r="I339" s="1">
        <f t="shared" si="188"/>
        <v>0</v>
      </c>
      <c r="J339" s="1">
        <f t="shared" si="188"/>
        <v>0</v>
      </c>
      <c r="K339" s="1">
        <f t="shared" si="188"/>
        <v>0</v>
      </c>
    </row>
    <row r="340" spans="1:11" x14ac:dyDescent="0.35">
      <c r="A340" s="5" t="s">
        <v>5</v>
      </c>
      <c r="B340" s="5" t="str">
        <f t="shared" si="171"/>
        <v>SPS2</v>
      </c>
      <c r="C340" s="5" t="s">
        <v>7</v>
      </c>
      <c r="D340" t="s">
        <v>853</v>
      </c>
      <c r="E340" t="str">
        <f t="shared" si="164"/>
        <v>PJ/yr.</v>
      </c>
      <c r="F340" s="1">
        <f>SUM(F341:F355)</f>
        <v>1.1426802804225562</v>
      </c>
      <c r="G340" s="1">
        <f t="shared" ref="G340:K340" si="189">SUM(G341:G355)</f>
        <v>1.2738165897593605</v>
      </c>
      <c r="H340" s="1">
        <f t="shared" si="189"/>
        <v>1.3047983916390358</v>
      </c>
      <c r="I340" s="1">
        <f t="shared" si="189"/>
        <v>1.3842922759521432</v>
      </c>
      <c r="J340" s="1">
        <f t="shared" si="189"/>
        <v>1.9034997860252123</v>
      </c>
      <c r="K340" s="1">
        <f t="shared" si="189"/>
        <v>2.3310267535566491</v>
      </c>
    </row>
    <row r="341" spans="1:11" x14ac:dyDescent="0.35">
      <c r="A341" s="5" t="s">
        <v>5</v>
      </c>
      <c r="B341" s="5" t="str">
        <f t="shared" si="171"/>
        <v>SPS2</v>
      </c>
      <c r="C341" s="5" t="s">
        <v>7</v>
      </c>
      <c r="D341" t="s">
        <v>640</v>
      </c>
      <c r="E341" t="str">
        <f t="shared" si="164"/>
        <v>PJ/yr.</v>
      </c>
      <c r="F341" s="1">
        <f>F309-F325</f>
        <v>0</v>
      </c>
      <c r="G341" s="1">
        <f t="shared" ref="G341:K341" si="190">G309-G325</f>
        <v>0</v>
      </c>
      <c r="H341" s="1">
        <f t="shared" si="190"/>
        <v>0</v>
      </c>
      <c r="I341" s="1">
        <f t="shared" si="190"/>
        <v>0</v>
      </c>
      <c r="J341" s="1">
        <f t="shared" si="190"/>
        <v>4.8432322547635749E-5</v>
      </c>
      <c r="K341" s="1">
        <f t="shared" si="190"/>
        <v>2.2255703366525935E-3</v>
      </c>
    </row>
    <row r="342" spans="1:11" x14ac:dyDescent="0.35">
      <c r="A342" s="5" t="s">
        <v>5</v>
      </c>
      <c r="B342" s="5" t="str">
        <f t="shared" si="171"/>
        <v>SPS2</v>
      </c>
      <c r="C342" s="5" t="s">
        <v>7</v>
      </c>
      <c r="D342" t="s">
        <v>641</v>
      </c>
      <c r="E342" t="str">
        <f t="shared" si="164"/>
        <v>PJ/yr.</v>
      </c>
      <c r="F342" s="1">
        <f t="shared" ref="F342:K342" si="191">F310-F326</f>
        <v>0</v>
      </c>
      <c r="G342" s="1">
        <f t="shared" si="191"/>
        <v>0</v>
      </c>
      <c r="H342" s="1">
        <f t="shared" si="191"/>
        <v>0</v>
      </c>
      <c r="I342" s="1">
        <f t="shared" si="191"/>
        <v>0</v>
      </c>
      <c r="J342" s="1">
        <f t="shared" si="191"/>
        <v>3.4803083637829828E-5</v>
      </c>
      <c r="K342" s="1">
        <f t="shared" si="191"/>
        <v>2.3293681731914786E-3</v>
      </c>
    </row>
    <row r="343" spans="1:11" x14ac:dyDescent="0.35">
      <c r="A343" s="5" t="s">
        <v>5</v>
      </c>
      <c r="B343" s="5" t="str">
        <f t="shared" si="171"/>
        <v>SPS2</v>
      </c>
      <c r="C343" s="5" t="s">
        <v>7</v>
      </c>
      <c r="D343" t="s">
        <v>642</v>
      </c>
      <c r="E343" t="str">
        <f t="shared" si="164"/>
        <v>PJ/yr.</v>
      </c>
      <c r="F343" s="1">
        <f t="shared" ref="F343:K343" si="192">F311-F327</f>
        <v>0</v>
      </c>
      <c r="G343" s="1">
        <f t="shared" si="192"/>
        <v>0</v>
      </c>
      <c r="H343" s="1">
        <f t="shared" si="192"/>
        <v>0</v>
      </c>
      <c r="I343" s="1">
        <f t="shared" si="192"/>
        <v>0</v>
      </c>
      <c r="J343" s="1">
        <f t="shared" si="192"/>
        <v>0</v>
      </c>
      <c r="K343" s="1">
        <f t="shared" si="192"/>
        <v>0</v>
      </c>
    </row>
    <row r="344" spans="1:11" x14ac:dyDescent="0.35">
      <c r="A344" s="5" t="s">
        <v>5</v>
      </c>
      <c r="B344" s="5" t="str">
        <f t="shared" si="171"/>
        <v>SPS2</v>
      </c>
      <c r="C344" s="5" t="s">
        <v>7</v>
      </c>
      <c r="D344" t="s">
        <v>643</v>
      </c>
      <c r="E344" t="str">
        <f t="shared" si="164"/>
        <v>PJ/yr.</v>
      </c>
      <c r="F344" s="1">
        <f t="shared" ref="F344:K344" si="193">F312-F328</f>
        <v>3.3288135255788776E-2</v>
      </c>
      <c r="G344" s="1">
        <f t="shared" si="193"/>
        <v>1.592991645194726E-4</v>
      </c>
      <c r="H344" s="1">
        <f t="shared" si="193"/>
        <v>3.8106741666833754E-4</v>
      </c>
      <c r="I344" s="1">
        <f t="shared" si="193"/>
        <v>0</v>
      </c>
      <c r="J344" s="1">
        <f t="shared" si="193"/>
        <v>0</v>
      </c>
      <c r="K344" s="1">
        <f t="shared" si="193"/>
        <v>0</v>
      </c>
    </row>
    <row r="345" spans="1:11" x14ac:dyDescent="0.35">
      <c r="A345" s="5" t="s">
        <v>5</v>
      </c>
      <c r="B345" s="5" t="str">
        <f t="shared" si="171"/>
        <v>SPS2</v>
      </c>
      <c r="C345" s="5" t="s">
        <v>7</v>
      </c>
      <c r="D345" t="s">
        <v>644</v>
      </c>
      <c r="E345" t="str">
        <f t="shared" si="164"/>
        <v>PJ/yr.</v>
      </c>
      <c r="F345" s="1">
        <f t="shared" ref="F345:K345" si="194">F313-F329</f>
        <v>0</v>
      </c>
      <c r="G345" s="1">
        <f t="shared" si="194"/>
        <v>0</v>
      </c>
      <c r="H345" s="1">
        <f t="shared" si="194"/>
        <v>0</v>
      </c>
      <c r="I345" s="1">
        <f t="shared" si="194"/>
        <v>0</v>
      </c>
      <c r="J345" s="1">
        <f t="shared" si="194"/>
        <v>0</v>
      </c>
      <c r="K345" s="1">
        <f t="shared" si="194"/>
        <v>0</v>
      </c>
    </row>
    <row r="346" spans="1:11" x14ac:dyDescent="0.35">
      <c r="A346" s="5" t="s">
        <v>5</v>
      </c>
      <c r="B346" s="5" t="str">
        <f t="shared" si="171"/>
        <v>SPS2</v>
      </c>
      <c r="C346" s="5" t="s">
        <v>7</v>
      </c>
      <c r="D346" t="s">
        <v>645</v>
      </c>
      <c r="E346" t="str">
        <f t="shared" si="164"/>
        <v>PJ/yr.</v>
      </c>
      <c r="F346" s="1">
        <f t="shared" ref="F346:K346" si="195">F314-F330</f>
        <v>2.2948751724115035E-2</v>
      </c>
      <c r="G346" s="1">
        <f t="shared" si="195"/>
        <v>2.1449656479590046E-3</v>
      </c>
      <c r="H346" s="1">
        <f t="shared" si="195"/>
        <v>1.3139522548035742E-3</v>
      </c>
      <c r="I346" s="1">
        <f t="shared" si="195"/>
        <v>2.6683282267237797E-3</v>
      </c>
      <c r="J346" s="1">
        <f t="shared" si="195"/>
        <v>0.34954975695328938</v>
      </c>
      <c r="K346" s="1">
        <f t="shared" si="195"/>
        <v>0.58339930092562198</v>
      </c>
    </row>
    <row r="347" spans="1:11" x14ac:dyDescent="0.35">
      <c r="A347" s="5" t="s">
        <v>5</v>
      </c>
      <c r="B347" s="5" t="str">
        <f t="shared" si="171"/>
        <v>SPS2</v>
      </c>
      <c r="C347" s="5" t="s">
        <v>7</v>
      </c>
      <c r="D347" t="s">
        <v>646</v>
      </c>
      <c r="E347" t="str">
        <f t="shared" si="164"/>
        <v>PJ/yr.</v>
      </c>
      <c r="F347" s="1">
        <f t="shared" ref="F347:K347" si="196">F315-F331</f>
        <v>0</v>
      </c>
      <c r="G347" s="1">
        <f t="shared" si="196"/>
        <v>0</v>
      </c>
      <c r="H347" s="1">
        <f t="shared" si="196"/>
        <v>0</v>
      </c>
      <c r="I347" s="1">
        <f t="shared" si="196"/>
        <v>0</v>
      </c>
      <c r="J347" s="1">
        <f t="shared" si="196"/>
        <v>1.7046102888941027E-3</v>
      </c>
      <c r="K347" s="1">
        <f t="shared" si="196"/>
        <v>0.22788597158725676</v>
      </c>
    </row>
    <row r="348" spans="1:11" x14ac:dyDescent="0.35">
      <c r="A348" s="5" t="s">
        <v>5</v>
      </c>
      <c r="B348" s="5" t="str">
        <f t="shared" si="171"/>
        <v>SPS2</v>
      </c>
      <c r="C348" s="5" t="s">
        <v>7</v>
      </c>
      <c r="D348" t="s">
        <v>647</v>
      </c>
      <c r="E348" t="str">
        <f t="shared" si="164"/>
        <v>PJ/yr.</v>
      </c>
      <c r="F348" s="1">
        <f t="shared" ref="F348:K348" si="197">F316-F332</f>
        <v>0</v>
      </c>
      <c r="G348" s="1">
        <f t="shared" si="197"/>
        <v>0</v>
      </c>
      <c r="H348" s="1">
        <f t="shared" si="197"/>
        <v>0</v>
      </c>
      <c r="I348" s="1">
        <f t="shared" si="197"/>
        <v>0</v>
      </c>
      <c r="J348" s="1">
        <f t="shared" si="197"/>
        <v>0</v>
      </c>
      <c r="K348" s="1">
        <f t="shared" si="197"/>
        <v>0</v>
      </c>
    </row>
    <row r="349" spans="1:11" x14ac:dyDescent="0.35">
      <c r="A349" s="5" t="s">
        <v>5</v>
      </c>
      <c r="B349" s="5" t="str">
        <f t="shared" si="171"/>
        <v>SPS2</v>
      </c>
      <c r="C349" s="5" t="s">
        <v>7</v>
      </c>
      <c r="D349" t="s">
        <v>648</v>
      </c>
      <c r="E349" t="str">
        <f t="shared" si="164"/>
        <v>PJ/yr.</v>
      </c>
      <c r="F349" s="1">
        <f t="shared" ref="F349:K349" si="198">F317-F333</f>
        <v>6.4382568598448861E-4</v>
      </c>
      <c r="G349" s="1">
        <f t="shared" si="198"/>
        <v>1.0410742618440893E-4</v>
      </c>
      <c r="H349" s="1">
        <f t="shared" si="198"/>
        <v>2.4984658698292209E-4</v>
      </c>
      <c r="I349" s="1">
        <f t="shared" si="198"/>
        <v>3.6138076800319285E-4</v>
      </c>
      <c r="J349" s="1">
        <f t="shared" si="198"/>
        <v>1.256431049867855E-3</v>
      </c>
      <c r="K349" s="1">
        <f t="shared" si="198"/>
        <v>0</v>
      </c>
    </row>
    <row r="350" spans="1:11" x14ac:dyDescent="0.35">
      <c r="A350" s="5" t="s">
        <v>5</v>
      </c>
      <c r="B350" s="5" t="str">
        <f t="shared" si="171"/>
        <v>SPS2</v>
      </c>
      <c r="C350" s="5" t="s">
        <v>7</v>
      </c>
      <c r="D350" t="s">
        <v>649</v>
      </c>
      <c r="E350" t="str">
        <f t="shared" si="164"/>
        <v>PJ/yr.</v>
      </c>
      <c r="F350" s="1">
        <f t="shared" ref="F350:K350" si="199">F318-F334</f>
        <v>0</v>
      </c>
      <c r="G350" s="1">
        <f t="shared" si="199"/>
        <v>0</v>
      </c>
      <c r="H350" s="1">
        <f t="shared" si="199"/>
        <v>0</v>
      </c>
      <c r="I350" s="1">
        <f t="shared" si="199"/>
        <v>0</v>
      </c>
      <c r="J350" s="1">
        <f t="shared" si="199"/>
        <v>0</v>
      </c>
      <c r="K350" s="1">
        <f t="shared" si="199"/>
        <v>0</v>
      </c>
    </row>
    <row r="351" spans="1:11" x14ac:dyDescent="0.35">
      <c r="A351" s="5" t="s">
        <v>5</v>
      </c>
      <c r="B351" s="5" t="str">
        <f t="shared" si="171"/>
        <v>SPS2</v>
      </c>
      <c r="C351" s="5" t="s">
        <v>7</v>
      </c>
      <c r="D351" t="s">
        <v>650</v>
      </c>
      <c r="E351" t="str">
        <f t="shared" si="164"/>
        <v>PJ/yr.</v>
      </c>
      <c r="F351" s="1">
        <f t="shared" ref="F351:K351" si="200">F319-F335</f>
        <v>8.8535223855498724E-4</v>
      </c>
      <c r="G351" s="1">
        <f t="shared" si="200"/>
        <v>1.5395326688808376E-4</v>
      </c>
      <c r="H351" s="1">
        <f t="shared" si="200"/>
        <v>4.5510928466403755E-4</v>
      </c>
      <c r="I351" s="1">
        <f t="shared" si="200"/>
        <v>6.3538685138357209E-4</v>
      </c>
      <c r="J351" s="1">
        <f t="shared" si="200"/>
        <v>4.8934540278965785E-3</v>
      </c>
      <c r="K351" s="1">
        <f t="shared" si="200"/>
        <v>0</v>
      </c>
    </row>
    <row r="352" spans="1:11" x14ac:dyDescent="0.35">
      <c r="A352" s="5" t="s">
        <v>5</v>
      </c>
      <c r="B352" s="5" t="str">
        <f t="shared" si="171"/>
        <v>SPS2</v>
      </c>
      <c r="C352" s="5" t="s">
        <v>7</v>
      </c>
      <c r="D352" t="s">
        <v>651</v>
      </c>
      <c r="E352" t="str">
        <f t="shared" si="164"/>
        <v>PJ/yr.</v>
      </c>
      <c r="F352" s="1">
        <f t="shared" ref="F352:K352" si="201">F320-F336</f>
        <v>0</v>
      </c>
      <c r="G352" s="1">
        <f t="shared" si="201"/>
        <v>0</v>
      </c>
      <c r="H352" s="1">
        <f t="shared" si="201"/>
        <v>0</v>
      </c>
      <c r="I352" s="1">
        <f t="shared" si="201"/>
        <v>0</v>
      </c>
      <c r="J352" s="1">
        <f t="shared" si="201"/>
        <v>0</v>
      </c>
      <c r="K352" s="1">
        <f t="shared" si="201"/>
        <v>0</v>
      </c>
    </row>
    <row r="353" spans="1:15" x14ac:dyDescent="0.35">
      <c r="A353" s="5" t="s">
        <v>5</v>
      </c>
      <c r="B353" s="5" t="str">
        <f t="shared" si="171"/>
        <v>SPS2</v>
      </c>
      <c r="C353" s="5" t="s">
        <v>7</v>
      </c>
      <c r="D353" t="s">
        <v>652</v>
      </c>
      <c r="E353" t="str">
        <f t="shared" si="164"/>
        <v>PJ/yr.</v>
      </c>
      <c r="F353" s="1">
        <f t="shared" ref="F353:K353" si="202">F321-F337</f>
        <v>1.0647130746374667</v>
      </c>
      <c r="G353" s="1">
        <f t="shared" si="202"/>
        <v>1.2554472518552391</v>
      </c>
      <c r="H353" s="1">
        <f t="shared" si="202"/>
        <v>1.3020801953577923</v>
      </c>
      <c r="I353" s="1">
        <f t="shared" si="202"/>
        <v>1.380414413239224</v>
      </c>
      <c r="J353" s="1">
        <f t="shared" si="202"/>
        <v>1.5451225653090601</v>
      </c>
      <c r="K353" s="1">
        <f t="shared" si="202"/>
        <v>1.5151865425339262</v>
      </c>
    </row>
    <row r="354" spans="1:15" x14ac:dyDescent="0.35">
      <c r="A354" s="5" t="s">
        <v>5</v>
      </c>
      <c r="B354" s="5" t="str">
        <f t="shared" si="171"/>
        <v>SPS2</v>
      </c>
      <c r="C354" s="5" t="s">
        <v>7</v>
      </c>
      <c r="D354" t="s">
        <v>653</v>
      </c>
      <c r="E354" t="str">
        <f t="shared" si="164"/>
        <v>PJ/yr.</v>
      </c>
      <c r="F354" s="1">
        <f t="shared" ref="F354:K354" si="203">F322-F338</f>
        <v>2.0201140880646284E-2</v>
      </c>
      <c r="G354" s="1">
        <f t="shared" si="203"/>
        <v>1.5807012398570519E-2</v>
      </c>
      <c r="H354" s="1">
        <f t="shared" si="203"/>
        <v>3.1822073812475329E-4</v>
      </c>
      <c r="I354" s="1">
        <f t="shared" si="203"/>
        <v>2.1276686680861065E-4</v>
      </c>
      <c r="J354" s="1">
        <f t="shared" si="203"/>
        <v>8.8973299001891414E-4</v>
      </c>
      <c r="K354" s="1">
        <f t="shared" si="203"/>
        <v>0</v>
      </c>
    </row>
    <row r="355" spans="1:15" x14ac:dyDescent="0.35">
      <c r="A355" s="5" t="s">
        <v>5</v>
      </c>
      <c r="B355" s="5" t="str">
        <f t="shared" si="171"/>
        <v>SPS2</v>
      </c>
      <c r="C355" s="5" t="s">
        <v>7</v>
      </c>
      <c r="D355" t="s">
        <v>654</v>
      </c>
      <c r="E355" t="str">
        <f t="shared" si="164"/>
        <v>PJ/yr.</v>
      </c>
      <c r="F355" s="1">
        <f t="shared" ref="F355:K355" si="204">F323-F339</f>
        <v>0</v>
      </c>
      <c r="G355" s="1">
        <f t="shared" si="204"/>
        <v>0</v>
      </c>
      <c r="H355" s="1">
        <f t="shared" si="204"/>
        <v>0</v>
      </c>
      <c r="I355" s="1">
        <f t="shared" si="204"/>
        <v>0</v>
      </c>
      <c r="J355" s="1">
        <f t="shared" si="204"/>
        <v>0</v>
      </c>
      <c r="K355" s="1">
        <f t="shared" si="204"/>
        <v>0</v>
      </c>
    </row>
    <row r="356" spans="1:15" x14ac:dyDescent="0.35">
      <c r="A356" s="5" t="s">
        <v>5</v>
      </c>
      <c r="B356" s="5" t="str">
        <f t="shared" si="171"/>
        <v>SPS2</v>
      </c>
      <c r="C356" s="5" t="s">
        <v>7</v>
      </c>
      <c r="D356" t="s">
        <v>854</v>
      </c>
      <c r="E356" t="str">
        <f t="shared" ref="E356:E406" si="205">E355</f>
        <v>PJ/yr.</v>
      </c>
      <c r="F356" s="1">
        <f>SUM(F357:F362)</f>
        <v>22.495530807505528</v>
      </c>
      <c r="G356" s="1">
        <f t="shared" ref="G356:K356" si="206">SUM(G357:G362)</f>
        <v>24.687146670126101</v>
      </c>
      <c r="H356" s="1">
        <f t="shared" si="206"/>
        <v>25.622875674113935</v>
      </c>
      <c r="I356" s="1">
        <f t="shared" si="206"/>
        <v>26.729674511639207</v>
      </c>
      <c r="J356" s="1">
        <f t="shared" si="206"/>
        <v>29.198657452105838</v>
      </c>
      <c r="K356" s="1">
        <f t="shared" si="206"/>
        <v>36.635422956886323</v>
      </c>
    </row>
    <row r="357" spans="1:15" x14ac:dyDescent="0.35">
      <c r="A357" s="5" t="s">
        <v>5</v>
      </c>
      <c r="B357" s="5" t="str">
        <f t="shared" si="171"/>
        <v>SPS2</v>
      </c>
      <c r="C357" s="5" t="s">
        <v>7</v>
      </c>
      <c r="D357" t="s">
        <v>113</v>
      </c>
      <c r="E357" t="str">
        <f t="shared" si="205"/>
        <v>PJ/yr.</v>
      </c>
      <c r="F357" s="1">
        <f>'[1]Electricity and CHPs_IN'!B$19</f>
        <v>18.203598881345474</v>
      </c>
      <c r="G357" s="1">
        <f>'[1]Electricity and CHPs_IN'!C$19</f>
        <v>20.566838335875939</v>
      </c>
      <c r="H357" s="1">
        <f>'[1]Electricity and CHPs_IN'!D$19</f>
        <v>21.306744884607745</v>
      </c>
      <c r="I357" s="1">
        <f>'[1]Electricity and CHPs_IN'!E$19</f>
        <v>21.880435923614382</v>
      </c>
      <c r="J357" s="1">
        <f>'[1]Electricity and CHPs_IN'!F$19</f>
        <v>18.763798329280363</v>
      </c>
      <c r="K357" s="1">
        <f>'[1]Electricity and CHPs_IN'!G$19</f>
        <v>14.34126494203999</v>
      </c>
      <c r="O357" s="1"/>
    </row>
    <row r="358" spans="1:15" x14ac:dyDescent="0.35">
      <c r="A358" s="5" t="s">
        <v>5</v>
      </c>
      <c r="B358" s="5" t="str">
        <f t="shared" si="171"/>
        <v>SPS2</v>
      </c>
      <c r="C358" s="5" t="s">
        <v>7</v>
      </c>
      <c r="D358" t="s">
        <v>114</v>
      </c>
      <c r="E358" t="str">
        <f t="shared" si="205"/>
        <v>PJ/yr.</v>
      </c>
      <c r="F358" s="1">
        <f>'[1]Electricity and CHPs_IN'!B$20</f>
        <v>0</v>
      </c>
      <c r="G358" s="1">
        <f>'[1]Electricity and CHPs_IN'!C$20</f>
        <v>0</v>
      </c>
      <c r="H358" s="1">
        <f>'[1]Electricity and CHPs_IN'!D$20</f>
        <v>0</v>
      </c>
      <c r="I358" s="1">
        <f>'[1]Electricity and CHPs_IN'!E$20</f>
        <v>0</v>
      </c>
      <c r="J358" s="1">
        <f>'[1]Electricity and CHPs_IN'!F$20</f>
        <v>4.7692846707915706</v>
      </c>
      <c r="K358" s="1">
        <f>'[1]Electricity and CHPs_IN'!G$20</f>
        <v>14.340240255781287</v>
      </c>
      <c r="O358" s="1"/>
    </row>
    <row r="359" spans="1:15" x14ac:dyDescent="0.35">
      <c r="A359" s="5" t="s">
        <v>5</v>
      </c>
      <c r="B359" s="5" t="str">
        <f t="shared" si="171"/>
        <v>SPS2</v>
      </c>
      <c r="C359" s="5" t="s">
        <v>7</v>
      </c>
      <c r="D359" t="s">
        <v>115</v>
      </c>
      <c r="E359" t="str">
        <f t="shared" si="205"/>
        <v>PJ/yr.</v>
      </c>
      <c r="F359" s="1">
        <f>IFERROR(F131/SUM(F131,F196),0)*'[1]Electricity and CHPs_IN'!B$26</f>
        <v>3.8974822883525393</v>
      </c>
      <c r="G359" s="1">
        <f>IFERROR(G131/SUM(G131,G196),0)*'[1]Electricity and CHPs_IN'!C$26</f>
        <v>3.6918561765042939</v>
      </c>
      <c r="H359" s="1">
        <f>IFERROR(H131/SUM(H131,H196),0)*'[1]Electricity and CHPs_IN'!D$26</f>
        <v>3.6824623854499121</v>
      </c>
      <c r="I359" s="1">
        <f>IFERROR(I131/SUM(I131,I196),0)*'[1]Electricity and CHPs_IN'!E$26</f>
        <v>4.1053254741055767</v>
      </c>
      <c r="J359" s="1">
        <f>IFERROR(J131/SUM(J131,J196),0)*'[1]Electricity and CHPs_IN'!F$26</f>
        <v>4.1936480643601364</v>
      </c>
      <c r="K359" s="1">
        <f>IFERROR(K131/SUM(K131,K196),0)*'[1]Electricity and CHPs_IN'!G$26</f>
        <v>3.8148012576738255</v>
      </c>
    </row>
    <row r="360" spans="1:15" x14ac:dyDescent="0.35">
      <c r="A360" s="5" t="s">
        <v>5</v>
      </c>
      <c r="B360" s="5" t="str">
        <f t="shared" si="171"/>
        <v>SPS2</v>
      </c>
      <c r="C360" s="5" t="s">
        <v>7</v>
      </c>
      <c r="D360" t="s">
        <v>116</v>
      </c>
      <c r="E360" t="str">
        <f t="shared" si="205"/>
        <v>PJ/yr.</v>
      </c>
      <c r="F360" s="1">
        <f>IFERROR(F132/SUM(F132,F197),0)*'[1]Electricity and CHPs_IN'!B$27</f>
        <v>0</v>
      </c>
      <c r="G360" s="1">
        <f>IFERROR(G132/SUM(G132,G197),0)*'[1]Electricity and CHPs_IN'!C$27</f>
        <v>0</v>
      </c>
      <c r="H360" s="1">
        <f>IFERROR(H132/SUM(H132,H197),0)*'[1]Electricity and CHPs_IN'!D$27</f>
        <v>0</v>
      </c>
      <c r="I360" s="1">
        <f>IFERROR(I132/SUM(I132,I197),0)*'[1]Electricity and CHPs_IN'!E$27</f>
        <v>0</v>
      </c>
      <c r="J360" s="1">
        <f>IFERROR(J132/SUM(J132,J197),0)*'[1]Electricity and CHPs_IN'!F$27</f>
        <v>0.53310046515185583</v>
      </c>
      <c r="K360" s="1">
        <f>IFERROR(K132/SUM(K132,K197),0)*'[1]Electricity and CHPs_IN'!G$27</f>
        <v>1.4726381457600617</v>
      </c>
    </row>
    <row r="361" spans="1:15" x14ac:dyDescent="0.35">
      <c r="A361" s="5" t="s">
        <v>5</v>
      </c>
      <c r="B361" s="5" t="str">
        <f t="shared" si="171"/>
        <v>SPS2</v>
      </c>
      <c r="C361" s="5" t="s">
        <v>7</v>
      </c>
      <c r="D361" t="s">
        <v>117</v>
      </c>
      <c r="E361" t="str">
        <f t="shared" si="205"/>
        <v>PJ/yr.</v>
      </c>
      <c r="F361" s="1">
        <f>IFERROR(F133/SUM(F133,F272),0)*'[1]Electricity and CHPs_IN'!B$44</f>
        <v>0.39444963780751652</v>
      </c>
      <c r="G361" s="1">
        <f>IFERROR(G133/SUM(G133,G272),0)*'[1]Electricity and CHPs_IN'!C$44</f>
        <v>0.4284521577458652</v>
      </c>
      <c r="H361" s="1">
        <f>IFERROR(H133/SUM(H133,H272),0)*'[1]Electricity and CHPs_IN'!D$44</f>
        <v>0.63366840405627678</v>
      </c>
      <c r="I361" s="1">
        <f>IFERROR(I133/SUM(I133,I272),0)*'[1]Electricity and CHPs_IN'!E$44</f>
        <v>0.74391311391924664</v>
      </c>
      <c r="J361" s="1">
        <f>IFERROR(J133/SUM(J133,J272),0)*'[1]Electricity and CHPs_IN'!F$44</f>
        <v>0.80487521265467932</v>
      </c>
      <c r="K361" s="1">
        <f>IFERROR(K133/SUM(K133,K272),0)*'[1]Electricity and CHPs_IN'!G$44</f>
        <v>3.8438245040014601E-4</v>
      </c>
    </row>
    <row r="362" spans="1:15" x14ac:dyDescent="0.35">
      <c r="A362" s="5" t="s">
        <v>5</v>
      </c>
      <c r="B362" s="5" t="str">
        <f t="shared" si="171"/>
        <v>SPS2</v>
      </c>
      <c r="C362" s="5" t="s">
        <v>7</v>
      </c>
      <c r="D362" t="s">
        <v>118</v>
      </c>
      <c r="E362" t="str">
        <f t="shared" si="205"/>
        <v>PJ/yr.</v>
      </c>
      <c r="F362" s="1">
        <f>IFERROR(F134/SUM(F134,F273),0)*'[1]Electricity and CHPs_IN'!B$45</f>
        <v>0</v>
      </c>
      <c r="G362" s="1">
        <f>IFERROR(G134/SUM(G134,G273),0)*'[1]Electricity and CHPs_IN'!C$45</f>
        <v>0</v>
      </c>
      <c r="H362" s="1">
        <f>IFERROR(H134/SUM(H134,H273),0)*'[1]Electricity and CHPs_IN'!D$45</f>
        <v>0</v>
      </c>
      <c r="I362" s="1">
        <f>IFERROR(I134/SUM(I134,I273),0)*'[1]Electricity and CHPs_IN'!E$45</f>
        <v>0</v>
      </c>
      <c r="J362" s="1">
        <f>IFERROR(J134/SUM(J134,J273),0)*'[1]Electricity and CHPs_IN'!F$45</f>
        <v>0.13395070986723356</v>
      </c>
      <c r="K362" s="1">
        <f>IFERROR(K134/SUM(K134,K273),0)*'[1]Electricity and CHPs_IN'!G$45</f>
        <v>2.6660939731807671</v>
      </c>
      <c r="O362" s="4"/>
    </row>
    <row r="363" spans="1:15" x14ac:dyDescent="0.35">
      <c r="A363" s="5" t="s">
        <v>5</v>
      </c>
      <c r="B363" s="5" t="str">
        <f t="shared" si="171"/>
        <v>SPS2</v>
      </c>
      <c r="C363" s="5" t="s">
        <v>7</v>
      </c>
      <c r="D363" t="s">
        <v>855</v>
      </c>
      <c r="E363" t="str">
        <f t="shared" si="205"/>
        <v>PJ/yr.</v>
      </c>
      <c r="F363" s="1">
        <f>SUM(F364:F367)</f>
        <v>11.050540584849006</v>
      </c>
      <c r="G363" s="1">
        <f t="shared" ref="G363:K363" si="207">SUM(G364:G367)</f>
        <v>12.129347256190115</v>
      </c>
      <c r="H363" s="1">
        <f t="shared" si="207"/>
        <v>12.494603635028829</v>
      </c>
      <c r="I363" s="1">
        <f t="shared" si="207"/>
        <v>12.992880698859979</v>
      </c>
      <c r="J363" s="1">
        <f t="shared" si="207"/>
        <v>14.129915764791964</v>
      </c>
      <c r="K363" s="1">
        <f t="shared" si="207"/>
        <v>16.98447230062758</v>
      </c>
      <c r="O363" s="7"/>
    </row>
    <row r="364" spans="1:15" x14ac:dyDescent="0.35">
      <c r="A364" s="5" t="s">
        <v>5</v>
      </c>
      <c r="B364" s="5" t="str">
        <f t="shared" si="171"/>
        <v>SPS2</v>
      </c>
      <c r="C364" s="5" t="s">
        <v>7</v>
      </c>
      <c r="D364" t="s">
        <v>119</v>
      </c>
      <c r="E364" t="str">
        <f t="shared" si="205"/>
        <v>PJ/yr.</v>
      </c>
      <c r="F364" s="1">
        <f>F357*IFERROR(F136/F129,0)</f>
        <v>9.1017994406727372</v>
      </c>
      <c r="G364" s="1">
        <f t="shared" ref="G364:K364" si="208">G357*IFERROR(G136/G129,0)</f>
        <v>10.28341916793797</v>
      </c>
      <c r="H364" s="1">
        <f t="shared" si="208"/>
        <v>10.653372442303873</v>
      </c>
      <c r="I364" s="1">
        <f t="shared" si="208"/>
        <v>10.940217961807191</v>
      </c>
      <c r="J364" s="1">
        <f t="shared" si="208"/>
        <v>9.3818991646401813</v>
      </c>
      <c r="K364" s="1">
        <f t="shared" si="208"/>
        <v>7.1706324710199931</v>
      </c>
      <c r="O364" s="1"/>
    </row>
    <row r="365" spans="1:15" x14ac:dyDescent="0.35">
      <c r="A365" s="5" t="s">
        <v>5</v>
      </c>
      <c r="B365" s="5" t="str">
        <f t="shared" si="171"/>
        <v>SPS2</v>
      </c>
      <c r="C365" s="5" t="s">
        <v>7</v>
      </c>
      <c r="D365" t="s">
        <v>120</v>
      </c>
      <c r="E365" t="str">
        <f t="shared" si="205"/>
        <v>PJ/yr.</v>
      </c>
      <c r="F365" s="1">
        <f t="shared" ref="F365:K365" si="209">F358*IFERROR(F137/F130,0)</f>
        <v>0</v>
      </c>
      <c r="G365" s="1">
        <f t="shared" si="209"/>
        <v>0</v>
      </c>
      <c r="H365" s="1">
        <f t="shared" si="209"/>
        <v>0</v>
      </c>
      <c r="I365" s="1">
        <f t="shared" si="209"/>
        <v>0</v>
      </c>
      <c r="J365" s="1">
        <f t="shared" si="209"/>
        <v>2.3846423353957849</v>
      </c>
      <c r="K365" s="1">
        <f t="shared" si="209"/>
        <v>7.1701201278906437</v>
      </c>
    </row>
    <row r="366" spans="1:15" x14ac:dyDescent="0.35">
      <c r="A366" s="5" t="s">
        <v>5</v>
      </c>
      <c r="B366" s="5" t="str">
        <f t="shared" si="171"/>
        <v>SPS2</v>
      </c>
      <c r="C366" s="5" t="s">
        <v>7</v>
      </c>
      <c r="D366" t="s">
        <v>121</v>
      </c>
      <c r="E366" t="str">
        <f t="shared" si="205"/>
        <v>PJ/yr.</v>
      </c>
      <c r="F366" s="1">
        <f t="shared" ref="F366:K366" si="210">F359*IFERROR(F138/F131,0)</f>
        <v>1.9487411441762696</v>
      </c>
      <c r="G366" s="1">
        <f t="shared" si="210"/>
        <v>1.8459280882521467</v>
      </c>
      <c r="H366" s="1">
        <f t="shared" si="210"/>
        <v>1.8412311927249561</v>
      </c>
      <c r="I366" s="1">
        <f t="shared" si="210"/>
        <v>2.0526627370527883</v>
      </c>
      <c r="J366" s="1">
        <f t="shared" si="210"/>
        <v>2.0968240321800682</v>
      </c>
      <c r="K366" s="1">
        <f t="shared" si="210"/>
        <v>1.9074006288369127</v>
      </c>
    </row>
    <row r="367" spans="1:15" x14ac:dyDescent="0.35">
      <c r="A367" s="5" t="s">
        <v>5</v>
      </c>
      <c r="B367" s="5" t="str">
        <f t="shared" si="171"/>
        <v>SPS2</v>
      </c>
      <c r="C367" s="5" t="s">
        <v>7</v>
      </c>
      <c r="D367" t="s">
        <v>122</v>
      </c>
      <c r="E367" t="str">
        <f t="shared" si="205"/>
        <v>PJ/yr.</v>
      </c>
      <c r="F367" s="1">
        <f t="shared" ref="F367:K367" si="211">F360*IFERROR(F139/F132,0)</f>
        <v>0</v>
      </c>
      <c r="G367" s="1">
        <f t="shared" si="211"/>
        <v>0</v>
      </c>
      <c r="H367" s="1">
        <f t="shared" si="211"/>
        <v>0</v>
      </c>
      <c r="I367" s="1">
        <f t="shared" si="211"/>
        <v>0</v>
      </c>
      <c r="J367" s="1">
        <f t="shared" si="211"/>
        <v>0.26655023257592791</v>
      </c>
      <c r="K367" s="1">
        <f t="shared" si="211"/>
        <v>0.73631907288003084</v>
      </c>
    </row>
    <row r="368" spans="1:15" x14ac:dyDescent="0.35">
      <c r="A368" s="5" t="s">
        <v>5</v>
      </c>
      <c r="B368" s="5" t="str">
        <f t="shared" si="171"/>
        <v>SPS2</v>
      </c>
      <c r="C368" s="5" t="s">
        <v>7</v>
      </c>
      <c r="D368" t="s">
        <v>123</v>
      </c>
      <c r="E368" t="str">
        <f t="shared" si="205"/>
        <v>PJ/yr.</v>
      </c>
      <c r="F368" s="1">
        <f t="shared" ref="F368:K368" si="212">F361*IFERROR(F140/F133,0)</f>
        <v>0</v>
      </c>
      <c r="G368" s="1">
        <f t="shared" si="212"/>
        <v>0</v>
      </c>
      <c r="H368" s="1">
        <f t="shared" si="212"/>
        <v>0</v>
      </c>
      <c r="I368" s="1">
        <f t="shared" si="212"/>
        <v>0</v>
      </c>
      <c r="J368" s="1">
        <f t="shared" si="212"/>
        <v>0</v>
      </c>
      <c r="K368" s="1">
        <f t="shared" si="212"/>
        <v>0</v>
      </c>
    </row>
    <row r="369" spans="1:15" x14ac:dyDescent="0.35">
      <c r="A369" s="5" t="s">
        <v>5</v>
      </c>
      <c r="B369" s="5" t="str">
        <f t="shared" si="171"/>
        <v>SPS2</v>
      </c>
      <c r="C369" s="5" t="s">
        <v>7</v>
      </c>
      <c r="D369" t="s">
        <v>124</v>
      </c>
      <c r="E369" t="str">
        <f t="shared" si="205"/>
        <v>PJ/yr.</v>
      </c>
      <c r="F369" s="1">
        <f t="shared" ref="F369:K369" si="213">F362*IFERROR(F141/F134,0)</f>
        <v>0</v>
      </c>
      <c r="G369" s="1">
        <f t="shared" si="213"/>
        <v>0</v>
      </c>
      <c r="H369" s="1">
        <f t="shared" si="213"/>
        <v>0</v>
      </c>
      <c r="I369" s="1">
        <f t="shared" si="213"/>
        <v>0</v>
      </c>
      <c r="J369" s="1">
        <f t="shared" si="213"/>
        <v>0</v>
      </c>
      <c r="K369" s="1">
        <f t="shared" si="213"/>
        <v>0</v>
      </c>
    </row>
    <row r="370" spans="1:15" x14ac:dyDescent="0.35">
      <c r="A370" s="5" t="s">
        <v>5</v>
      </c>
      <c r="B370" s="5" t="str">
        <f t="shared" si="171"/>
        <v>SPS2</v>
      </c>
      <c r="C370" s="5" t="s">
        <v>7</v>
      </c>
      <c r="D370" t="s">
        <v>856</v>
      </c>
      <c r="E370" t="str">
        <f t="shared" si="205"/>
        <v>PJ/yr.</v>
      </c>
      <c r="F370" s="1">
        <f>SUM(F371:F376)</f>
        <v>11.444990222656523</v>
      </c>
      <c r="G370" s="1">
        <f t="shared" ref="G370:K370" si="214">SUM(G371:G376)</f>
        <v>12.557799413935982</v>
      </c>
      <c r="H370" s="1">
        <f t="shared" si="214"/>
        <v>13.128272039085106</v>
      </c>
      <c r="I370" s="1">
        <f t="shared" si="214"/>
        <v>13.736793812779226</v>
      </c>
      <c r="J370" s="1">
        <f t="shared" si="214"/>
        <v>15.068741687313876</v>
      </c>
      <c r="K370" s="1">
        <f t="shared" si="214"/>
        <v>19.650950656258754</v>
      </c>
      <c r="M370" s="1"/>
      <c r="N370" s="1"/>
      <c r="O370" s="1"/>
    </row>
    <row r="371" spans="1:15" x14ac:dyDescent="0.35">
      <c r="A371" s="5" t="s">
        <v>5</v>
      </c>
      <c r="B371" s="5" t="str">
        <f t="shared" si="171"/>
        <v>SPS2</v>
      </c>
      <c r="C371" s="5" t="s">
        <v>7</v>
      </c>
      <c r="D371" t="s">
        <v>125</v>
      </c>
      <c r="E371" t="str">
        <f t="shared" si="205"/>
        <v>PJ/yr.</v>
      </c>
      <c r="F371" s="1">
        <f t="shared" ref="F371:K371" si="215">F364*IFERROR(F143/F136,0)</f>
        <v>9.1017994406727372</v>
      </c>
      <c r="G371" s="1">
        <f t="shared" si="215"/>
        <v>10.28341916793797</v>
      </c>
      <c r="H371" s="1">
        <f t="shared" si="215"/>
        <v>10.653372442303873</v>
      </c>
      <c r="I371" s="1">
        <f t="shared" si="215"/>
        <v>10.940217961807191</v>
      </c>
      <c r="J371" s="1">
        <f t="shared" si="215"/>
        <v>9.3818991646401813</v>
      </c>
      <c r="K371" s="1">
        <f t="shared" si="215"/>
        <v>7.1706324710199967</v>
      </c>
      <c r="M371" s="1"/>
      <c r="N371" s="1"/>
      <c r="O371" s="1"/>
    </row>
    <row r="372" spans="1:15" x14ac:dyDescent="0.35">
      <c r="A372" s="5" t="s">
        <v>5</v>
      </c>
      <c r="B372" s="5" t="str">
        <f t="shared" ref="B372:B435" si="216">B371</f>
        <v>SPS2</v>
      </c>
      <c r="C372" s="5" t="s">
        <v>7</v>
      </c>
      <c r="D372" t="s">
        <v>126</v>
      </c>
      <c r="E372" t="str">
        <f t="shared" si="205"/>
        <v>PJ/yr.</v>
      </c>
      <c r="F372" s="1">
        <f t="shared" ref="F372:K372" si="217">F365*IFERROR(F144/F137,0)</f>
        <v>0</v>
      </c>
      <c r="G372" s="1">
        <f t="shared" si="217"/>
        <v>0</v>
      </c>
      <c r="H372" s="1">
        <f t="shared" si="217"/>
        <v>0</v>
      </c>
      <c r="I372" s="1">
        <f t="shared" si="217"/>
        <v>0</v>
      </c>
      <c r="J372" s="1">
        <f t="shared" si="217"/>
        <v>2.3846423353957853</v>
      </c>
      <c r="K372" s="1">
        <f t="shared" si="217"/>
        <v>7.1701201278906437</v>
      </c>
    </row>
    <row r="373" spans="1:15" x14ac:dyDescent="0.35">
      <c r="A373" s="5" t="s">
        <v>5</v>
      </c>
      <c r="B373" s="5" t="str">
        <f t="shared" si="216"/>
        <v>SPS2</v>
      </c>
      <c r="C373" s="5" t="s">
        <v>7</v>
      </c>
      <c r="D373" t="s">
        <v>127</v>
      </c>
      <c r="E373" t="str">
        <f t="shared" si="205"/>
        <v>PJ/yr.</v>
      </c>
      <c r="F373" s="1">
        <f t="shared" ref="F373:K373" si="218">F366*IFERROR(F145/F138,0)</f>
        <v>1.9487411441762696</v>
      </c>
      <c r="G373" s="1">
        <f t="shared" si="218"/>
        <v>1.8459280882521472</v>
      </c>
      <c r="H373" s="1">
        <f t="shared" si="218"/>
        <v>1.8412311927249561</v>
      </c>
      <c r="I373" s="1">
        <f t="shared" si="218"/>
        <v>2.0526627370527883</v>
      </c>
      <c r="J373" s="1">
        <f t="shared" si="218"/>
        <v>2.0968240321800682</v>
      </c>
      <c r="K373" s="1">
        <f t="shared" si="218"/>
        <v>1.9074006288369127</v>
      </c>
    </row>
    <row r="374" spans="1:15" x14ac:dyDescent="0.35">
      <c r="A374" s="5" t="s">
        <v>5</v>
      </c>
      <c r="B374" s="5" t="str">
        <f t="shared" si="216"/>
        <v>SPS2</v>
      </c>
      <c r="C374" s="5" t="s">
        <v>7</v>
      </c>
      <c r="D374" t="s">
        <v>128</v>
      </c>
      <c r="E374" t="str">
        <f t="shared" si="205"/>
        <v>PJ/yr.</v>
      </c>
      <c r="F374" s="1">
        <f t="shared" ref="F374:K374" si="219">F367*IFERROR(F146/F139,0)</f>
        <v>0</v>
      </c>
      <c r="G374" s="1">
        <f t="shared" si="219"/>
        <v>0</v>
      </c>
      <c r="H374" s="1">
        <f t="shared" si="219"/>
        <v>0</v>
      </c>
      <c r="I374" s="1">
        <f t="shared" si="219"/>
        <v>0</v>
      </c>
      <c r="J374" s="1">
        <f t="shared" si="219"/>
        <v>0.26655023257592791</v>
      </c>
      <c r="K374" s="1">
        <f t="shared" si="219"/>
        <v>0.73631907288003084</v>
      </c>
    </row>
    <row r="375" spans="1:15" x14ac:dyDescent="0.35">
      <c r="A375" s="5" t="s">
        <v>5</v>
      </c>
      <c r="B375" s="5" t="str">
        <f t="shared" si="216"/>
        <v>SPS2</v>
      </c>
      <c r="C375" s="5" t="s">
        <v>7</v>
      </c>
      <c r="D375" t="s">
        <v>129</v>
      </c>
      <c r="E375" t="str">
        <f t="shared" si="205"/>
        <v>PJ/yr.</v>
      </c>
      <c r="F375" s="1">
        <f>F361</f>
        <v>0.39444963780751652</v>
      </c>
      <c r="G375" s="1">
        <f t="shared" ref="G375:K375" si="220">G361</f>
        <v>0.4284521577458652</v>
      </c>
      <c r="H375" s="1">
        <f t="shared" si="220"/>
        <v>0.63366840405627678</v>
      </c>
      <c r="I375" s="1">
        <f t="shared" si="220"/>
        <v>0.74391311391924664</v>
      </c>
      <c r="J375" s="1">
        <f t="shared" si="220"/>
        <v>0.80487521265467932</v>
      </c>
      <c r="K375" s="1">
        <f t="shared" si="220"/>
        <v>3.8438245040014601E-4</v>
      </c>
    </row>
    <row r="376" spans="1:15" x14ac:dyDescent="0.35">
      <c r="A376" s="5" t="s">
        <v>5</v>
      </c>
      <c r="B376" s="5" t="str">
        <f t="shared" si="216"/>
        <v>SPS2</v>
      </c>
      <c r="C376" s="5" t="s">
        <v>7</v>
      </c>
      <c r="D376" t="s">
        <v>130</v>
      </c>
      <c r="E376" t="str">
        <f t="shared" si="205"/>
        <v>PJ/yr.</v>
      </c>
      <c r="F376" s="1">
        <f t="shared" ref="F376:K376" si="221">F362</f>
        <v>0</v>
      </c>
      <c r="G376" s="1">
        <f t="shared" si="221"/>
        <v>0</v>
      </c>
      <c r="H376" s="1">
        <f t="shared" si="221"/>
        <v>0</v>
      </c>
      <c r="I376" s="1">
        <f t="shared" si="221"/>
        <v>0</v>
      </c>
      <c r="J376" s="1">
        <f t="shared" si="221"/>
        <v>0.13395070986723356</v>
      </c>
      <c r="K376" s="1">
        <f t="shared" si="221"/>
        <v>2.6660939731807671</v>
      </c>
    </row>
    <row r="377" spans="1:15" x14ac:dyDescent="0.35">
      <c r="A377" s="5" t="s">
        <v>5</v>
      </c>
      <c r="B377" s="5" t="str">
        <f t="shared" si="216"/>
        <v>SPS2</v>
      </c>
      <c r="C377" s="5" t="s">
        <v>7</v>
      </c>
      <c r="D377" t="s">
        <v>857</v>
      </c>
      <c r="E377" t="str">
        <f t="shared" si="205"/>
        <v>PJ/yr.</v>
      </c>
      <c r="F377" s="1">
        <f>SUM(F378:F384)</f>
        <v>0.41489381546024234</v>
      </c>
      <c r="G377" s="1">
        <f t="shared" ref="G377:K377" si="222">SUM(G378:G384)</f>
        <v>0.50824807697367125</v>
      </c>
      <c r="H377" s="1">
        <f t="shared" si="222"/>
        <v>1.136902050797266</v>
      </c>
      <c r="I377" s="1">
        <f t="shared" si="222"/>
        <v>1.664384882122697</v>
      </c>
      <c r="J377" s="1">
        <f t="shared" si="222"/>
        <v>3.2488948992102924</v>
      </c>
      <c r="K377" s="1">
        <f t="shared" si="222"/>
        <v>8.594330797442975</v>
      </c>
    </row>
    <row r="378" spans="1:15" x14ac:dyDescent="0.35">
      <c r="A378" s="5" t="s">
        <v>5</v>
      </c>
      <c r="B378" s="5" t="str">
        <f t="shared" si="216"/>
        <v>SPS2</v>
      </c>
      <c r="C378" s="5" t="s">
        <v>7</v>
      </c>
      <c r="D378" t="s">
        <v>131</v>
      </c>
      <c r="E378" t="str">
        <f t="shared" si="205"/>
        <v>PJ/yr.</v>
      </c>
      <c r="F378" s="1">
        <f>IFERROR(F150/SUM(F150,F205),0)*'[1]Electricity and CHPs_IN'!B$25</f>
        <v>0.23400868425878302</v>
      </c>
      <c r="G378" s="1">
        <f>IFERROR(G150/SUM(G150,G205),0)*'[1]Electricity and CHPs_IN'!C$25</f>
        <v>2.1694829687196201E-3</v>
      </c>
      <c r="H378" s="1">
        <f>IFERROR(H150/SUM(H150,H205),0)*'[1]Electricity and CHPs_IN'!D$25</f>
        <v>8.3004017580782337E-5</v>
      </c>
      <c r="I378" s="1">
        <f>IFERROR(I150/SUM(I150,I205),0)*'[1]Electricity and CHPs_IN'!E$25</f>
        <v>1.9554845645525142E-4</v>
      </c>
      <c r="J378" s="1">
        <f>IFERROR(J150/SUM(J150,J205),0)*'[1]Electricity and CHPs_IN'!F$25</f>
        <v>0.52594423109003652</v>
      </c>
      <c r="K378" s="1">
        <f>IFERROR(K150/SUM(K150,K205),0)*'[1]Electricity and CHPs_IN'!G$25</f>
        <v>0.52584198537230065</v>
      </c>
    </row>
    <row r="379" spans="1:15" x14ac:dyDescent="0.35">
      <c r="A379" s="5" t="s">
        <v>5</v>
      </c>
      <c r="B379" s="5" t="str">
        <f t="shared" si="216"/>
        <v>SPS2</v>
      </c>
      <c r="C379" s="5" t="s">
        <v>7</v>
      </c>
      <c r="D379" t="s">
        <v>132</v>
      </c>
      <c r="E379" t="str">
        <f t="shared" si="205"/>
        <v>PJ/yr.</v>
      </c>
      <c r="F379" s="1">
        <f>'[1]Electricity and CHPs_IN'!B$31</f>
        <v>0</v>
      </c>
      <c r="G379" s="1">
        <f>'[1]Electricity and CHPs_IN'!C$31</f>
        <v>0</v>
      </c>
      <c r="H379" s="1">
        <f>'[1]Electricity and CHPs_IN'!D$31</f>
        <v>0</v>
      </c>
      <c r="I379" s="1">
        <f>'[1]Electricity and CHPs_IN'!E$31</f>
        <v>0</v>
      </c>
      <c r="J379" s="1">
        <f>'[1]Electricity and CHPs_IN'!F$31</f>
        <v>7.5652628041426844E-3</v>
      </c>
      <c r="K379" s="1">
        <f>'[1]Electricity and CHPs_IN'!G$31</f>
        <v>3.9470222238021506</v>
      </c>
    </row>
    <row r="380" spans="1:15" x14ac:dyDescent="0.35">
      <c r="A380" s="5" t="s">
        <v>5</v>
      </c>
      <c r="B380" s="5" t="str">
        <f t="shared" si="216"/>
        <v>SPS2</v>
      </c>
      <c r="C380" s="5" t="s">
        <v>7</v>
      </c>
      <c r="D380" t="s">
        <v>133</v>
      </c>
      <c r="E380" t="str">
        <f t="shared" si="205"/>
        <v>PJ/yr.</v>
      </c>
      <c r="F380" s="1">
        <f>IFERROR(F152/SUM(F152,F281),0)*'[1]Electricity and CHPs_IN'!B$42</f>
        <v>0.18088513120145933</v>
      </c>
      <c r="G380" s="1">
        <f>IFERROR(G152/SUM(G152,G281),0)*'[1]Electricity and CHPs_IN'!C$42</f>
        <v>0.50607859400495159</v>
      </c>
      <c r="H380" s="1">
        <f>IFERROR(H152/SUM(H152,H281),0)*'[1]Electricity and CHPs_IN'!D$42</f>
        <v>1.1368190467796853</v>
      </c>
      <c r="I380" s="1">
        <f>IFERROR(I152/SUM(I152,I281),0)*'[1]Electricity and CHPs_IN'!E$42</f>
        <v>1.6545069246312705</v>
      </c>
      <c r="J380" s="1">
        <f>IFERROR(J152/SUM(J152,J281),0)*'[1]Electricity and CHPs_IN'!F$42</f>
        <v>0.78392489263970877</v>
      </c>
      <c r="K380" s="1">
        <f>IFERROR(K152/SUM(K152,K281),0)*'[1]Electricity and CHPs_IN'!G$42</f>
        <v>0.30326437778526605</v>
      </c>
    </row>
    <row r="381" spans="1:15" x14ac:dyDescent="0.35">
      <c r="A381" s="5" t="s">
        <v>5</v>
      </c>
      <c r="B381" s="5" t="str">
        <f t="shared" si="216"/>
        <v>SPS2</v>
      </c>
      <c r="C381" s="5" t="s">
        <v>7</v>
      </c>
      <c r="D381" t="s">
        <v>134</v>
      </c>
      <c r="E381" t="str">
        <f t="shared" si="205"/>
        <v>PJ/yr.</v>
      </c>
      <c r="F381" s="1">
        <f>IFERROR(F153/SUM(F153,F282),0)*'[1]Electricity and CHPs_IN'!B$43</f>
        <v>0</v>
      </c>
      <c r="G381" s="1">
        <f>IFERROR(G153/SUM(G153,G282),0)*'[1]Electricity and CHPs_IN'!C$43</f>
        <v>0</v>
      </c>
      <c r="H381" s="1">
        <f>IFERROR(H153/SUM(H153,H282),0)*'[1]Electricity and CHPs_IN'!D$43</f>
        <v>0</v>
      </c>
      <c r="I381" s="1">
        <f>IFERROR(I153/SUM(I153,I282),0)*'[1]Electricity and CHPs_IN'!E$43</f>
        <v>0</v>
      </c>
      <c r="J381" s="1">
        <f>IFERROR(J153/SUM(J153,J282),0)*'[1]Electricity and CHPs_IN'!F$43</f>
        <v>1.8094432160665666</v>
      </c>
      <c r="K381" s="1">
        <f>IFERROR(K153/SUM(K153,K282),0)*'[1]Electricity and CHPs_IN'!G$43</f>
        <v>3.8059239794962729</v>
      </c>
    </row>
    <row r="382" spans="1:15" x14ac:dyDescent="0.35">
      <c r="A382" s="5" t="s">
        <v>5</v>
      </c>
      <c r="B382" s="5" t="str">
        <f t="shared" si="216"/>
        <v>SPS2</v>
      </c>
      <c r="C382" s="5" t="s">
        <v>7</v>
      </c>
      <c r="D382" t="s">
        <v>135</v>
      </c>
      <c r="E382" t="str">
        <f t="shared" si="205"/>
        <v>PJ/yr.</v>
      </c>
      <c r="F382" s="1">
        <f>IFERROR(F154/SUM(F283,F154),0)*'[1]Electricity and CHPs_IN'!B$50</f>
        <v>0</v>
      </c>
      <c r="G382" s="1">
        <f>IFERROR(G154/SUM(G283,G154),0)*'[1]Electricity and CHPs_IN'!C$50</f>
        <v>0</v>
      </c>
      <c r="H382" s="1">
        <f>IFERROR(H154/SUM(H283,H154),0)*'[1]Electricity and CHPs_IN'!D$50</f>
        <v>0</v>
      </c>
      <c r="I382" s="1">
        <f>IFERROR(I154/SUM(I283,I154),0)*'[1]Electricity and CHPs_IN'!E$50</f>
        <v>2.7192311478519003E-3</v>
      </c>
      <c r="J382" s="1">
        <f>IFERROR(J154/SUM(J283,J154),0)*'[1]Electricity and CHPs_IN'!F$50</f>
        <v>7.2215426491890099E-3</v>
      </c>
      <c r="K382" s="1">
        <f>IFERROR(K154/SUM(K283,K154),0)*'[1]Electricity and CHPs_IN'!G$50</f>
        <v>1.7333455346467282E-3</v>
      </c>
    </row>
    <row r="383" spans="1:15" x14ac:dyDescent="0.35">
      <c r="A383" s="5" t="s">
        <v>5</v>
      </c>
      <c r="B383" s="5" t="str">
        <f t="shared" si="216"/>
        <v>SPS2</v>
      </c>
      <c r="C383" s="5" t="s">
        <v>7</v>
      </c>
      <c r="D383" t="s">
        <v>136</v>
      </c>
      <c r="E383" t="str">
        <f t="shared" si="205"/>
        <v>PJ/yr.</v>
      </c>
      <c r="F383" s="1">
        <f>IFERROR(F155/SUM(F284,F155),0)*'[1]Electricity and CHPs_IN'!B$53</f>
        <v>0</v>
      </c>
      <c r="G383" s="1">
        <f>IFERROR(G155/SUM(G284,G155),0)*'[1]Electricity and CHPs_IN'!C$53</f>
        <v>0</v>
      </c>
      <c r="H383" s="1">
        <f>IFERROR(H155/SUM(H284,H155),0)*'[1]Electricity and CHPs_IN'!D$53</f>
        <v>0</v>
      </c>
      <c r="I383" s="1">
        <f>IFERROR(I155/SUM(I284,I155),0)*'[1]Electricity and CHPs_IN'!E$53</f>
        <v>5.2603720577332584E-3</v>
      </c>
      <c r="J383" s="1">
        <f>IFERROR(J155/SUM(J284,J155),0)*'[1]Electricity and CHPs_IN'!F$53</f>
        <v>0.11195260213428361</v>
      </c>
      <c r="K383" s="1">
        <f>IFERROR(K155/SUM(K284,K155),0)*'[1]Electricity and CHPs_IN'!G$53</f>
        <v>8.4736486644812082E-3</v>
      </c>
    </row>
    <row r="384" spans="1:15" x14ac:dyDescent="0.35">
      <c r="A384" s="5" t="s">
        <v>5</v>
      </c>
      <c r="B384" s="5" t="str">
        <f t="shared" si="216"/>
        <v>SPS2</v>
      </c>
      <c r="C384" s="5" t="s">
        <v>7</v>
      </c>
      <c r="D384" t="s">
        <v>294</v>
      </c>
      <c r="E384" t="str">
        <f t="shared" si="205"/>
        <v>PJ/yr.</v>
      </c>
      <c r="F384" s="1">
        <f>IFERROR(F156/SUM(F285,F156),0)*'[1]Electricity and CHPs_IN'!B$56</f>
        <v>0</v>
      </c>
      <c r="G384" s="1">
        <f>IFERROR(G156/SUM(G285,G156),0)*'[1]Electricity and CHPs_IN'!C$56</f>
        <v>0</v>
      </c>
      <c r="H384" s="1">
        <f>IFERROR(H156/SUM(H285,H156),0)*'[1]Electricity and CHPs_IN'!D$56</f>
        <v>0</v>
      </c>
      <c r="I384" s="1">
        <f>IFERROR(I156/SUM(I285,I156),0)*'[1]Electricity and CHPs_IN'!E$56</f>
        <v>1.7028058293858761E-3</v>
      </c>
      <c r="J384" s="1">
        <f>IFERROR(J156/SUM(J285,J156),0)*'[1]Electricity and CHPs_IN'!F$56</f>
        <v>2.8431518263652084E-3</v>
      </c>
      <c r="K384" s="1">
        <f>IFERROR(K156/SUM(K285,K156),0)*'[1]Electricity and CHPs_IN'!G$56</f>
        <v>2.0712367878581218E-3</v>
      </c>
    </row>
    <row r="385" spans="1:11" x14ac:dyDescent="0.35">
      <c r="A385" s="5" t="s">
        <v>5</v>
      </c>
      <c r="B385" s="5" t="str">
        <f t="shared" si="216"/>
        <v>SPS2</v>
      </c>
      <c r="C385" s="5" t="s">
        <v>7</v>
      </c>
      <c r="D385" t="s">
        <v>858</v>
      </c>
      <c r="E385" t="str">
        <f t="shared" si="205"/>
        <v>PJ/yr.</v>
      </c>
      <c r="F385" s="1">
        <f>F386</f>
        <v>0.52400000000000047</v>
      </c>
      <c r="G385" s="1">
        <f t="shared" ref="G385:K385" si="223">G386</f>
        <v>0.54529688685681488</v>
      </c>
      <c r="H385" s="1">
        <f t="shared" si="223"/>
        <v>0.50316948519036375</v>
      </c>
      <c r="I385" s="1">
        <f t="shared" si="223"/>
        <v>2.0502677777781577</v>
      </c>
      <c r="J385" s="1">
        <f t="shared" si="223"/>
        <v>7.1993615699640126</v>
      </c>
      <c r="K385" s="1">
        <f t="shared" si="223"/>
        <v>26.771431294598283</v>
      </c>
    </row>
    <row r="386" spans="1:11" x14ac:dyDescent="0.35">
      <c r="A386" s="5" t="s">
        <v>5</v>
      </c>
      <c r="B386" s="5" t="str">
        <f t="shared" si="216"/>
        <v>SPS2</v>
      </c>
      <c r="C386" s="5" t="s">
        <v>7</v>
      </c>
      <c r="D386" t="s">
        <v>137</v>
      </c>
      <c r="E386" t="str">
        <f t="shared" si="205"/>
        <v>PJ/yr.</v>
      </c>
      <c r="F386" s="1">
        <f>'[1]Electricity and CHPs_IN'!B$33</f>
        <v>0.52400000000000047</v>
      </c>
      <c r="G386" s="1">
        <f>'[1]Electricity and CHPs_IN'!C$33</f>
        <v>0.54529688685681488</v>
      </c>
      <c r="H386" s="1">
        <f>'[1]Electricity and CHPs_IN'!D$33</f>
        <v>0.50316948519036375</v>
      </c>
      <c r="I386" s="1">
        <f>'[1]Electricity and CHPs_IN'!E$33</f>
        <v>2.0502677777781577</v>
      </c>
      <c r="J386" s="1">
        <f>'[1]Electricity and CHPs_IN'!F$33</f>
        <v>7.1993615699640126</v>
      </c>
      <c r="K386" s="1">
        <f>'[1]Electricity and CHPs_IN'!G$33</f>
        <v>26.771431294598283</v>
      </c>
    </row>
    <row r="387" spans="1:11" x14ac:dyDescent="0.35">
      <c r="A387" s="5" t="s">
        <v>5</v>
      </c>
      <c r="B387" s="5" t="str">
        <f t="shared" si="216"/>
        <v>SPS2</v>
      </c>
      <c r="C387" s="5" t="s">
        <v>7</v>
      </c>
      <c r="D387" t="s">
        <v>859</v>
      </c>
      <c r="E387" t="str">
        <f t="shared" si="205"/>
        <v>PJ/yr.</v>
      </c>
      <c r="F387" s="1">
        <f>SUM(F388:F392)</f>
        <v>9.3550000000000111</v>
      </c>
      <c r="G387" s="1">
        <f t="shared" ref="G387:K387" si="224">SUM(G388:G392)</f>
        <v>12.822949126451064</v>
      </c>
      <c r="H387" s="1">
        <f t="shared" si="224"/>
        <v>28.800018799509722</v>
      </c>
      <c r="I387" s="1">
        <f t="shared" si="224"/>
        <v>60.397187178759523</v>
      </c>
      <c r="J387" s="1">
        <f t="shared" si="224"/>
        <v>120.10762269460272</v>
      </c>
      <c r="K387" s="1">
        <f t="shared" si="224"/>
        <v>156.73816415074501</v>
      </c>
    </row>
    <row r="388" spans="1:11" x14ac:dyDescent="0.35">
      <c r="A388" s="5" t="s">
        <v>5</v>
      </c>
      <c r="B388" s="5" t="str">
        <f t="shared" si="216"/>
        <v>SPS2</v>
      </c>
      <c r="C388" s="5" t="s">
        <v>7</v>
      </c>
      <c r="D388" t="s">
        <v>138</v>
      </c>
      <c r="E388" t="str">
        <f t="shared" si="205"/>
        <v>PJ/yr.</v>
      </c>
      <c r="F388" s="1">
        <f>'[1]Electricity and CHPs_IN'!B34</f>
        <v>0</v>
      </c>
      <c r="G388" s="1">
        <f>'[1]Electricity and CHPs_IN'!C34</f>
        <v>0</v>
      </c>
      <c r="H388" s="1">
        <f>'[1]Electricity and CHPs_IN'!D34</f>
        <v>0.14079688501016394</v>
      </c>
      <c r="I388" s="1">
        <f>'[1]Electricity and CHPs_IN'!E34</f>
        <v>0.2741400422498631</v>
      </c>
      <c r="J388" s="1">
        <f>'[1]Electricity and CHPs_IN'!F34</f>
        <v>17.743539911415631</v>
      </c>
      <c r="K388" s="1">
        <f>'[1]Electricity and CHPs_IN'!G34</f>
        <v>41.699991763650537</v>
      </c>
    </row>
    <row r="389" spans="1:11" x14ac:dyDescent="0.35">
      <c r="A389" s="5" t="s">
        <v>5</v>
      </c>
      <c r="B389" s="5" t="str">
        <f t="shared" si="216"/>
        <v>SPS2</v>
      </c>
      <c r="C389" s="5" t="s">
        <v>7</v>
      </c>
      <c r="D389" t="s">
        <v>139</v>
      </c>
      <c r="E389" t="str">
        <f t="shared" si="205"/>
        <v>PJ/yr.</v>
      </c>
      <c r="F389" s="1">
        <f>'[1]Electricity and CHPs_IN'!B35</f>
        <v>3.517953999707534</v>
      </c>
      <c r="G389" s="1">
        <f>'[1]Electricity and CHPs_IN'!C35</f>
        <v>4.8498377393898808</v>
      </c>
      <c r="H389" s="1">
        <f>'[1]Electricity and CHPs_IN'!D35</f>
        <v>11.161619403278777</v>
      </c>
      <c r="I389" s="1">
        <f>'[1]Electricity and CHPs_IN'!E35</f>
        <v>19.470817746844464</v>
      </c>
      <c r="J389" s="1">
        <f>'[1]Electricity and CHPs_IN'!F35</f>
        <v>40.834409442792669</v>
      </c>
      <c r="K389" s="1">
        <f>'[1]Electricity and CHPs_IN'!G35</f>
        <v>55.443187600975179</v>
      </c>
    </row>
    <row r="390" spans="1:11" x14ac:dyDescent="0.35">
      <c r="A390" s="5" t="s">
        <v>5</v>
      </c>
      <c r="B390" s="5" t="str">
        <f t="shared" si="216"/>
        <v>SPS2</v>
      </c>
      <c r="C390" s="5" t="s">
        <v>7</v>
      </c>
      <c r="D390" t="s">
        <v>140</v>
      </c>
      <c r="E390" t="str">
        <f t="shared" si="205"/>
        <v>PJ/yr.</v>
      </c>
      <c r="F390" s="1">
        <f>'[1]Electricity and CHPs_IN'!B36</f>
        <v>2.1349390887346629</v>
      </c>
      <c r="G390" s="1">
        <f>'[1]Electricity and CHPs_IN'!C36</f>
        <v>3.3908432821003025</v>
      </c>
      <c r="H390" s="1">
        <f>'[1]Electricity and CHPs_IN'!D36</f>
        <v>4.0453269370859894</v>
      </c>
      <c r="I390" s="1">
        <f>'[1]Electricity and CHPs_IN'!E36</f>
        <v>12.242456166922107</v>
      </c>
      <c r="J390" s="1">
        <f>'[1]Electricity and CHPs_IN'!F36</f>
        <v>9.447694557259176</v>
      </c>
      <c r="K390" s="1">
        <f>'[1]Electricity and CHPs_IN'!G36</f>
        <v>2.0640399478835603</v>
      </c>
    </row>
    <row r="391" spans="1:11" x14ac:dyDescent="0.35">
      <c r="A391" s="5" t="s">
        <v>5</v>
      </c>
      <c r="B391" s="5" t="str">
        <f t="shared" si="216"/>
        <v>SPS2</v>
      </c>
      <c r="C391" s="5" t="s">
        <v>7</v>
      </c>
      <c r="D391" t="s">
        <v>141</v>
      </c>
      <c r="E391" t="str">
        <f t="shared" si="205"/>
        <v>PJ/yr.</v>
      </c>
      <c r="F391" s="1">
        <f>'[1]Electricity and CHPs_IN'!B37</f>
        <v>0.86248322578584768</v>
      </c>
      <c r="G391" s="1">
        <f>'[1]Electricity and CHPs_IN'!C37</f>
        <v>1.2878114211442655</v>
      </c>
      <c r="H391" s="1">
        <f>'[1]Electricity and CHPs_IN'!D37</f>
        <v>3.4857136526655821</v>
      </c>
      <c r="I391" s="1">
        <f>'[1]Electricity and CHPs_IN'!E37</f>
        <v>10.507419323507076</v>
      </c>
      <c r="J391" s="1">
        <f>'[1]Electricity and CHPs_IN'!F37</f>
        <v>11.607084203372828</v>
      </c>
      <c r="K391" s="1">
        <f>'[1]Electricity and CHPs_IN'!G37</f>
        <v>12.821466694723858</v>
      </c>
    </row>
    <row r="392" spans="1:11" x14ac:dyDescent="0.35">
      <c r="A392" s="5" t="s">
        <v>5</v>
      </c>
      <c r="B392" s="5" t="str">
        <f t="shared" si="216"/>
        <v>SPS2</v>
      </c>
      <c r="C392" s="5" t="s">
        <v>7</v>
      </c>
      <c r="D392" t="s">
        <v>142</v>
      </c>
      <c r="E392" t="str">
        <f t="shared" si="205"/>
        <v>PJ/yr.</v>
      </c>
      <c r="F392" s="1">
        <f>'[1]Electricity and CHPs_IN'!B38</f>
        <v>2.8396236857719668</v>
      </c>
      <c r="G392" s="1">
        <f>'[1]Electricity and CHPs_IN'!C38</f>
        <v>3.2944566838166156</v>
      </c>
      <c r="H392" s="1">
        <f>'[1]Electricity and CHPs_IN'!D38</f>
        <v>9.9665619214692089</v>
      </c>
      <c r="I392" s="1">
        <f>'[1]Electricity and CHPs_IN'!E38</f>
        <v>17.902353899236019</v>
      </c>
      <c r="J392" s="1">
        <f>'[1]Electricity and CHPs_IN'!F38</f>
        <v>40.474894579762406</v>
      </c>
      <c r="K392" s="1">
        <f>'[1]Electricity and CHPs_IN'!G38</f>
        <v>44.709478143511866</v>
      </c>
    </row>
    <row r="393" spans="1:11" x14ac:dyDescent="0.35">
      <c r="A393" s="5" t="s">
        <v>5</v>
      </c>
      <c r="B393" s="5" t="str">
        <f t="shared" si="216"/>
        <v>SPS2</v>
      </c>
      <c r="C393" s="5" t="s">
        <v>7</v>
      </c>
      <c r="D393" t="s">
        <v>860</v>
      </c>
      <c r="E393" t="str">
        <f t="shared" si="205"/>
        <v>PJ/yr.</v>
      </c>
      <c r="F393" s="1">
        <f>'[1]Electricity and CHPs'!B252</f>
        <v>0</v>
      </c>
      <c r="G393" s="1">
        <f>'[1]Electricity and CHPs'!C252</f>
        <v>0</v>
      </c>
      <c r="H393" s="1">
        <f>'[1]Electricity and CHPs'!D252</f>
        <v>0</v>
      </c>
      <c r="I393" s="1">
        <f>'[1]Electricity and CHPs'!E252</f>
        <v>0</v>
      </c>
      <c r="J393" s="1">
        <f>'[1]Electricity and CHPs'!F252</f>
        <v>0</v>
      </c>
      <c r="K393" s="1">
        <f>'[1]Electricity and CHPs'!G252</f>
        <v>0</v>
      </c>
    </row>
    <row r="394" spans="1:11" x14ac:dyDescent="0.35">
      <c r="A394" s="5" t="s">
        <v>5</v>
      </c>
      <c r="B394" s="5" t="str">
        <f t="shared" si="216"/>
        <v>SPS2</v>
      </c>
      <c r="C394" s="5" t="s">
        <v>7</v>
      </c>
      <c r="D394" t="s">
        <v>143</v>
      </c>
      <c r="E394" t="str">
        <f t="shared" si="205"/>
        <v>PJ/yr.</v>
      </c>
      <c r="F394" s="1">
        <f>'[1]Electricity and CHPs_IN'!B$32</f>
        <v>0</v>
      </c>
      <c r="G394" s="1">
        <f>'[1]Electricity and CHPs_IN'!C$32</f>
        <v>0</v>
      </c>
      <c r="H394" s="1">
        <f>'[1]Electricity and CHPs_IN'!D$32</f>
        <v>0</v>
      </c>
      <c r="I394" s="1">
        <f>'[1]Electricity and CHPs_IN'!E$32</f>
        <v>0</v>
      </c>
      <c r="J394" s="1">
        <f>'[1]Electricity and CHPs_IN'!F$32</f>
        <v>8.6981959219947613E-2</v>
      </c>
      <c r="K394" s="1">
        <f>'[1]Electricity and CHPs_IN'!G$32</f>
        <v>0.55418140994153386</v>
      </c>
    </row>
    <row r="395" spans="1:11" x14ac:dyDescent="0.35">
      <c r="A395" s="5" t="s">
        <v>5</v>
      </c>
      <c r="B395" s="5" t="str">
        <f t="shared" si="216"/>
        <v>SPS2</v>
      </c>
      <c r="C395" s="5" t="s">
        <v>7</v>
      </c>
      <c r="D395" t="s">
        <v>861</v>
      </c>
      <c r="E395" t="str">
        <f t="shared" si="205"/>
        <v>PJ/yr.</v>
      </c>
      <c r="F395" s="1">
        <f t="shared" ref="F395" si="225">SUM(F396:F398)</f>
        <v>0</v>
      </c>
      <c r="G395" s="1">
        <f t="shared" ref="G395" si="226">SUM(G396:G398)</f>
        <v>0</v>
      </c>
      <c r="H395" s="1">
        <f t="shared" ref="H395" si="227">SUM(H396:H398)</f>
        <v>0</v>
      </c>
      <c r="I395" s="1">
        <f t="shared" ref="I395" si="228">SUM(I396:I398)</f>
        <v>1.5982640847305662E-2</v>
      </c>
      <c r="J395" s="1">
        <f t="shared" ref="J395" si="229">SUM(J396:J398)</f>
        <v>0.33044010170046006</v>
      </c>
      <c r="K395" s="1">
        <f t="shared" ref="K395" si="230">SUM(K396:K398)</f>
        <v>0.23869674518147899</v>
      </c>
    </row>
    <row r="396" spans="1:11" x14ac:dyDescent="0.35">
      <c r="A396" s="5" t="s">
        <v>5</v>
      </c>
      <c r="B396" s="5" t="str">
        <f t="shared" si="216"/>
        <v>SPS2</v>
      </c>
      <c r="C396" s="5" t="s">
        <v>7</v>
      </c>
      <c r="D396" t="s">
        <v>144</v>
      </c>
      <c r="E396" t="str">
        <f t="shared" si="205"/>
        <v>PJ/yr.</v>
      </c>
      <c r="F396" s="1">
        <f>IFERROR(F168/SUM(F168,F207),0)*'[1]Electricity and CHPs_IN'!B$30</f>
        <v>0</v>
      </c>
      <c r="G396" s="1">
        <f>IFERROR(G168/SUM(G168,G207),0)*'[1]Electricity and CHPs_IN'!C$30</f>
        <v>0</v>
      </c>
      <c r="H396" s="1">
        <f>IFERROR(H168/SUM(H168,H207),0)*'[1]Electricity and CHPs_IN'!D$30</f>
        <v>0</v>
      </c>
      <c r="I396" s="1">
        <f>IFERROR(I168/SUM(I168,I207),0)*'[1]Electricity and CHPs_IN'!E$30</f>
        <v>0</v>
      </c>
      <c r="J396" s="1">
        <f>IFERROR(J168/SUM(J168,J207),0)*'[1]Electricity and CHPs_IN'!F$30</f>
        <v>1.0146895970321517E-2</v>
      </c>
      <c r="K396" s="1">
        <f>IFERROR(K168/SUM(K168,K207),0)*'[1]Electricity and CHPs_IN'!G$30</f>
        <v>1.0077505996991405E-2</v>
      </c>
    </row>
    <row r="397" spans="1:11" x14ac:dyDescent="0.35">
      <c r="A397" s="5" t="s">
        <v>5</v>
      </c>
      <c r="B397" s="5" t="str">
        <f t="shared" si="216"/>
        <v>SPS2</v>
      </c>
      <c r="C397" s="5" t="s">
        <v>7</v>
      </c>
      <c r="D397" t="s">
        <v>145</v>
      </c>
      <c r="E397" t="str">
        <f t="shared" si="205"/>
        <v>PJ/yr.</v>
      </c>
      <c r="F397" s="1">
        <f>IFERROR(F169/SUM(F169,F287),0)*'[1]Electricity and CHPs_IN'!B$46</f>
        <v>0</v>
      </c>
      <c r="G397" s="1">
        <f>IFERROR(G169/SUM(G169,G287),0)*'[1]Electricity and CHPs_IN'!C$46</f>
        <v>0</v>
      </c>
      <c r="H397" s="1">
        <f>IFERROR(H169/SUM(H169,H287),0)*'[1]Electricity and CHPs_IN'!D$46</f>
        <v>0</v>
      </c>
      <c r="I397" s="1">
        <f>IFERROR(I169/SUM(I169,I287),0)*'[1]Electricity and CHPs_IN'!E$46</f>
        <v>0</v>
      </c>
      <c r="J397" s="1">
        <f>IFERROR(J169/SUM(J169,J287),0)*'[1]Electricity and CHPs_IN'!F$46</f>
        <v>0.28880523131200986</v>
      </c>
      <c r="K397" s="1">
        <f>IFERROR(K169/SUM(K169,K287),0)*'[1]Electricity and CHPs_IN'!G$46</f>
        <v>0.22346621047508503</v>
      </c>
    </row>
    <row r="398" spans="1:11" x14ac:dyDescent="0.35">
      <c r="A398" s="5" t="s">
        <v>5</v>
      </c>
      <c r="B398" s="5" t="str">
        <f t="shared" si="216"/>
        <v>SPS2</v>
      </c>
      <c r="C398" s="5" t="s">
        <v>7</v>
      </c>
      <c r="D398" t="s">
        <v>237</v>
      </c>
      <c r="E398" t="str">
        <f t="shared" si="205"/>
        <v>PJ/yr.</v>
      </c>
      <c r="F398" s="1">
        <f>IFERROR(F170/SUM(F170,F288),0)*'[1]Electricity and CHPs_IN'!B$57</f>
        <v>0</v>
      </c>
      <c r="G398" s="1">
        <f>IFERROR(G170/SUM(G170,G288),0)*'[1]Electricity and CHPs_IN'!C$57</f>
        <v>0</v>
      </c>
      <c r="H398" s="1">
        <f>IFERROR(H170/SUM(H170,H288),0)*'[1]Electricity and CHPs_IN'!D$57</f>
        <v>0</v>
      </c>
      <c r="I398" s="1">
        <f>IFERROR(I170/SUM(I170,I288),0)*'[1]Electricity and CHPs_IN'!E$57</f>
        <v>1.5982640847305662E-2</v>
      </c>
      <c r="J398" s="1">
        <f>IFERROR(J170/SUM(J170,J288),0)*'[1]Electricity and CHPs_IN'!F$57</f>
        <v>3.1487974418128679E-2</v>
      </c>
      <c r="K398" s="1">
        <f>IFERROR(K170/SUM(K170,K288),0)*'[1]Electricity and CHPs_IN'!G$57</f>
        <v>5.1530287094025597E-3</v>
      </c>
    </row>
    <row r="399" spans="1:11" x14ac:dyDescent="0.35">
      <c r="A399" s="5" t="s">
        <v>5</v>
      </c>
      <c r="B399" s="5" t="str">
        <f t="shared" si="216"/>
        <v>SPS2</v>
      </c>
      <c r="C399" s="5" t="s">
        <v>7</v>
      </c>
      <c r="D399" t="s">
        <v>862</v>
      </c>
      <c r="E399" t="str">
        <f t="shared" si="205"/>
        <v>PJ/yr.</v>
      </c>
      <c r="F399" s="1">
        <f>SUM(F400:F406)</f>
        <v>0.18493933813898861</v>
      </c>
      <c r="G399" s="1">
        <f t="shared" ref="G399:K399" si="231">SUM(G400:G406)</f>
        <v>6.4119250277699907E-2</v>
      </c>
      <c r="H399" s="1">
        <f t="shared" si="231"/>
        <v>0.18399587122208788</v>
      </c>
      <c r="I399" s="1">
        <f t="shared" si="231"/>
        <v>0.67145297273471349</v>
      </c>
      <c r="J399" s="1">
        <f t="shared" si="231"/>
        <v>1.5064364776112396</v>
      </c>
      <c r="K399" s="1">
        <f t="shared" si="231"/>
        <v>3.861842343711428</v>
      </c>
    </row>
    <row r="400" spans="1:11" x14ac:dyDescent="0.35">
      <c r="A400" s="5" t="s">
        <v>5</v>
      </c>
      <c r="B400" s="5" t="str">
        <f t="shared" si="216"/>
        <v>SPS2</v>
      </c>
      <c r="C400" s="5" t="s">
        <v>7</v>
      </c>
      <c r="D400" t="s">
        <v>146</v>
      </c>
      <c r="E400" t="str">
        <f t="shared" si="205"/>
        <v>PJ/yr.</v>
      </c>
      <c r="F400" s="1">
        <f>'[1]Electricity and CHPs_IN'!B63</f>
        <v>0.13542890504206842</v>
      </c>
      <c r="G400" s="1">
        <f>'[1]Electricity and CHPs_IN'!C63</f>
        <v>1.9950774150767289E-2</v>
      </c>
      <c r="H400" s="1">
        <f>'[1]Electricity and CHPs_IN'!D63</f>
        <v>0.13497344688645951</v>
      </c>
      <c r="I400" s="1">
        <f>'[1]Electricity and CHPs_IN'!E63</f>
        <v>0.13501302705773435</v>
      </c>
      <c r="J400" s="1">
        <f>'[1]Electricity and CHPs_IN'!F63</f>
        <v>5.6451826708826321E-2</v>
      </c>
      <c r="K400" s="1">
        <f>'[1]Electricity and CHPs_IN'!G63</f>
        <v>3.1595868303067244E-2</v>
      </c>
    </row>
    <row r="401" spans="1:19" x14ac:dyDescent="0.35">
      <c r="A401" s="5" t="s">
        <v>5</v>
      </c>
      <c r="B401" s="5" t="str">
        <f t="shared" si="216"/>
        <v>SPS2</v>
      </c>
      <c r="C401" s="5" t="s">
        <v>7</v>
      </c>
      <c r="D401" t="s">
        <v>147</v>
      </c>
      <c r="E401" t="str">
        <f t="shared" si="205"/>
        <v>PJ/yr.</v>
      </c>
      <c r="F401" s="1">
        <f>'[1]Electricity and CHPs_IN'!B64</f>
        <v>1.3802321975902036E-2</v>
      </c>
      <c r="G401" s="1">
        <f>'[1]Electricity and CHPs_IN'!C64</f>
        <v>1.1069081094867633E-2</v>
      </c>
      <c r="H401" s="1">
        <f>'[1]Electricity and CHPs_IN'!D64</f>
        <v>1.3617279911638523E-2</v>
      </c>
      <c r="I401" s="1">
        <f>'[1]Electricity and CHPs_IN'!E64</f>
        <v>1.6897600131036309E-2</v>
      </c>
      <c r="J401" s="1">
        <f>'[1]Electricity and CHPs_IN'!F64</f>
        <v>0.87749266298275574</v>
      </c>
      <c r="K401" s="1">
        <f>'[1]Electricity and CHPs_IN'!G64</f>
        <v>2.3578766226499082</v>
      </c>
    </row>
    <row r="402" spans="1:19" x14ac:dyDescent="0.35">
      <c r="A402" s="5" t="s">
        <v>5</v>
      </c>
      <c r="B402" s="5" t="str">
        <f t="shared" si="216"/>
        <v>SPS2</v>
      </c>
      <c r="C402" s="5" t="s">
        <v>7</v>
      </c>
      <c r="D402" t="s">
        <v>148</v>
      </c>
      <c r="E402" t="str">
        <f t="shared" si="205"/>
        <v>PJ/yr.</v>
      </c>
      <c r="F402" s="1">
        <f>'[1]Electricity and CHPs_IN'!B65</f>
        <v>1.2142223089759938E-2</v>
      </c>
      <c r="G402" s="1">
        <f>'[1]Electricity and CHPs_IN'!C65</f>
        <v>9.6976772168057782E-3</v>
      </c>
      <c r="H402" s="1">
        <f>'[1]Electricity and CHPs_IN'!D65</f>
        <v>1.2046824109842971E-2</v>
      </c>
      <c r="I402" s="1">
        <f>'[1]Electricity and CHPs_IN'!E65</f>
        <v>1.4522843645683564E-2</v>
      </c>
      <c r="J402" s="1">
        <f>'[1]Electricity and CHPs_IN'!F65</f>
        <v>5.5101811162551438E-2</v>
      </c>
      <c r="K402" s="1">
        <f>'[1]Electricity and CHPs_IN'!G65</f>
        <v>0.74926504364051993</v>
      </c>
    </row>
    <row r="403" spans="1:19" x14ac:dyDescent="0.35">
      <c r="A403" s="5" t="s">
        <v>5</v>
      </c>
      <c r="B403" s="5" t="str">
        <f t="shared" si="216"/>
        <v>SPS2</v>
      </c>
      <c r="C403" s="5" t="s">
        <v>7</v>
      </c>
      <c r="D403" t="s">
        <v>149</v>
      </c>
      <c r="E403" t="str">
        <f t="shared" si="205"/>
        <v>PJ/yr.</v>
      </c>
      <c r="F403" s="1">
        <f>'[1]Electricity and CHPs_IN'!B66</f>
        <v>3.9295051772757226E-3</v>
      </c>
      <c r="G403" s="1">
        <f>'[1]Electricity and CHPs_IN'!C66</f>
        <v>3.9022042624564778E-3</v>
      </c>
      <c r="H403" s="1">
        <f>'[1]Electricity and CHPs_IN'!D66</f>
        <v>3.8937173480439653E-3</v>
      </c>
      <c r="I403" s="1">
        <f>'[1]Electricity and CHPs_IN'!E66</f>
        <v>0.13233018278938327</v>
      </c>
      <c r="J403" s="1">
        <f>'[1]Electricity and CHPs_IN'!F66</f>
        <v>0.27213022701252904</v>
      </c>
      <c r="K403" s="1">
        <f>'[1]Electricity and CHPs_IN'!G66</f>
        <v>0.5337473604275369</v>
      </c>
    </row>
    <row r="404" spans="1:19" x14ac:dyDescent="0.35">
      <c r="A404" s="5" t="s">
        <v>5</v>
      </c>
      <c r="B404" s="5" t="str">
        <f t="shared" si="216"/>
        <v>SPS2</v>
      </c>
      <c r="C404" s="5" t="s">
        <v>7</v>
      </c>
      <c r="D404" t="s">
        <v>1854</v>
      </c>
      <c r="E404" t="str">
        <f t="shared" si="205"/>
        <v>PJ/yr.</v>
      </c>
      <c r="F404" s="1">
        <f>'[1]Electricity and CHPs_IN'!B67</f>
        <v>7.8422213034055437E-3</v>
      </c>
      <c r="G404" s="1">
        <f>'[1]Electricity and CHPs_IN'!C67</f>
        <v>7.7875840217346056E-3</v>
      </c>
      <c r="H404" s="1">
        <f>'[1]Electricity and CHPs_IN'!D67</f>
        <v>7.7751211952353221E-3</v>
      </c>
      <c r="I404" s="1">
        <f>'[1]Electricity and CHPs_IN'!E67</f>
        <v>0.1401127864405754</v>
      </c>
      <c r="J404" s="1">
        <f>'[1]Electricity and CHPs_IN'!F67</f>
        <v>8.9444816111899583E-2</v>
      </c>
      <c r="K404" s="1">
        <f>'[1]Electricity and CHPs_IN'!G67</f>
        <v>7.0710741644302078E-2</v>
      </c>
    </row>
    <row r="405" spans="1:19" x14ac:dyDescent="0.35">
      <c r="A405" s="5" t="s">
        <v>5</v>
      </c>
      <c r="B405" s="5" t="str">
        <f t="shared" si="216"/>
        <v>SPS2</v>
      </c>
      <c r="C405" s="5" t="s">
        <v>7</v>
      </c>
      <c r="D405" t="s">
        <v>150</v>
      </c>
      <c r="E405" t="str">
        <f t="shared" si="205"/>
        <v>PJ/yr.</v>
      </c>
      <c r="F405" s="1">
        <f>'[1]Electricity and CHPs_IN'!B68</f>
        <v>7.846246728396903E-3</v>
      </c>
      <c r="G405" s="1">
        <f>'[1]Electricity and CHPs_IN'!C68</f>
        <v>7.7914879009896385E-3</v>
      </c>
      <c r="H405" s="1">
        <f>'[1]Electricity and CHPs_IN'!D68</f>
        <v>7.7776852190413939E-3</v>
      </c>
      <c r="I405" s="1">
        <f>'[1]Electricity and CHPs_IN'!E68</f>
        <v>0.14440229030196727</v>
      </c>
      <c r="J405" s="1">
        <f>'[1]Electricity and CHPs_IN'!F68</f>
        <v>9.4348638925883313E-2</v>
      </c>
      <c r="K405" s="1">
        <f>'[1]Electricity and CHPs_IN'!G68</f>
        <v>7.0892709064447265E-2</v>
      </c>
    </row>
    <row r="406" spans="1:19" x14ac:dyDescent="0.35">
      <c r="A406" s="5" t="s">
        <v>5</v>
      </c>
      <c r="B406" s="5" t="str">
        <f t="shared" si="216"/>
        <v>SPS2</v>
      </c>
      <c r="C406" s="5" t="s">
        <v>7</v>
      </c>
      <c r="D406" t="s">
        <v>151</v>
      </c>
      <c r="E406" t="str">
        <f t="shared" si="205"/>
        <v>PJ/yr.</v>
      </c>
      <c r="F406" s="1">
        <f>'[1]Electricity and CHPs_IN'!B69</f>
        <v>3.9479148221800743E-3</v>
      </c>
      <c r="G406" s="1">
        <f>'[1]Electricity and CHPs_IN'!C69</f>
        <v>3.9204416300784809E-3</v>
      </c>
      <c r="H406" s="1">
        <f>'[1]Electricity and CHPs_IN'!D69</f>
        <v>3.9117965518261711E-3</v>
      </c>
      <c r="I406" s="1">
        <f>'[1]Electricity and CHPs_IN'!E69</f>
        <v>8.8174242368333253E-2</v>
      </c>
      <c r="J406" s="1">
        <f>'[1]Electricity and CHPs_IN'!F69</f>
        <v>6.146649470679412E-2</v>
      </c>
      <c r="K406" s="1">
        <f>'[1]Electricity and CHPs_IN'!G69</f>
        <v>4.7753997981646513E-2</v>
      </c>
    </row>
    <row r="407" spans="1:19" x14ac:dyDescent="0.35">
      <c r="A407" s="5"/>
      <c r="B407" s="9" t="str">
        <f t="shared" si="216"/>
        <v>SPS2</v>
      </c>
      <c r="C407" s="2" t="str">
        <f t="shared" ref="C407" si="232">C406</f>
        <v>CH</v>
      </c>
      <c r="D407" s="2" t="s">
        <v>190</v>
      </c>
      <c r="E407" s="2" t="str">
        <f>E395</f>
        <v>PJ/yr.</v>
      </c>
      <c r="F407" s="3">
        <f>F408+F461</f>
        <v>56.33384996298139</v>
      </c>
      <c r="G407" s="3">
        <f t="shared" ref="G407:K407" si="233">G408+G461</f>
        <v>55.551693630640344</v>
      </c>
      <c r="H407" s="3">
        <f t="shared" si="233"/>
        <v>54.245255823443173</v>
      </c>
      <c r="I407" s="3">
        <f t="shared" si="233"/>
        <v>57.566724443492944</v>
      </c>
      <c r="J407" s="3">
        <f t="shared" si="233"/>
        <v>64.513293138903691</v>
      </c>
      <c r="K407" s="3">
        <f t="shared" si="233"/>
        <v>75.148294080912876</v>
      </c>
      <c r="M407" s="11"/>
      <c r="N407" s="11"/>
      <c r="O407" s="11"/>
      <c r="P407" s="11"/>
      <c r="Q407" s="11"/>
      <c r="R407" s="11"/>
      <c r="S407" s="11"/>
    </row>
    <row r="408" spans="1:19" x14ac:dyDescent="0.35">
      <c r="A408" s="5"/>
      <c r="B408" s="5" t="str">
        <f t="shared" si="216"/>
        <v>SPS2</v>
      </c>
      <c r="C408" s="5" t="s">
        <v>7</v>
      </c>
      <c r="D408" t="s">
        <v>863</v>
      </c>
      <c r="E408" t="str">
        <f>E396</f>
        <v>PJ/yr.</v>
      </c>
      <c r="F408" s="1">
        <f t="shared" ref="F408:K408" si="234">F409+F438</f>
        <v>48.293110143178424</v>
      </c>
      <c r="G408" s="1">
        <f t="shared" si="234"/>
        <v>46.797767687459576</v>
      </c>
      <c r="H408" s="1">
        <f t="shared" si="234"/>
        <v>44.054818090008105</v>
      </c>
      <c r="I408" s="1">
        <f t="shared" si="234"/>
        <v>46.7173608763554</v>
      </c>
      <c r="J408" s="1">
        <f t="shared" si="234"/>
        <v>51.158430498671052</v>
      </c>
      <c r="K408" s="1">
        <f t="shared" si="234"/>
        <v>51.746854534391616</v>
      </c>
      <c r="M408" s="11"/>
      <c r="N408" s="11"/>
      <c r="O408" s="11"/>
      <c r="P408" s="11"/>
      <c r="Q408" s="11"/>
      <c r="R408" s="11"/>
      <c r="S408" s="11"/>
    </row>
    <row r="409" spans="1:19" x14ac:dyDescent="0.35">
      <c r="A409" s="5"/>
      <c r="B409" s="5" t="str">
        <f t="shared" si="216"/>
        <v>SPS2</v>
      </c>
      <c r="C409" s="5" t="s">
        <v>7</v>
      </c>
      <c r="D409" t="s">
        <v>864</v>
      </c>
      <c r="E409" t="str">
        <f>E393</f>
        <v>PJ/yr.</v>
      </c>
      <c r="F409" s="1">
        <f>SUM(F410,F416,F425,F434,F436)</f>
        <v>39.53825856135289</v>
      </c>
      <c r="G409" s="1">
        <f t="shared" ref="G409:K409" si="235">SUM(G410,G416,G425,G434,G436)</f>
        <v>34.186824863515838</v>
      </c>
      <c r="H409" s="1">
        <f t="shared" si="235"/>
        <v>34.188435539285841</v>
      </c>
      <c r="I409" s="1">
        <f t="shared" si="235"/>
        <v>36.938826653983028</v>
      </c>
      <c r="J409" s="1">
        <f t="shared" si="235"/>
        <v>41.225444122004497</v>
      </c>
      <c r="K409" s="1">
        <f t="shared" si="235"/>
        <v>40.593760882944856</v>
      </c>
    </row>
    <row r="410" spans="1:19" x14ac:dyDescent="0.35">
      <c r="A410" s="5"/>
      <c r="B410" s="5" t="str">
        <f t="shared" si="216"/>
        <v>SPS2</v>
      </c>
      <c r="C410" s="5" t="s">
        <v>7</v>
      </c>
      <c r="D410" t="s">
        <v>865</v>
      </c>
      <c r="E410" t="s">
        <v>8</v>
      </c>
      <c r="F410" s="1">
        <f>F411</f>
        <v>2.8868172736775277E-2</v>
      </c>
      <c r="G410" s="1">
        <f t="shared" ref="G410:K410" si="236">G411</f>
        <v>1.1720847373044083E-2</v>
      </c>
      <c r="H410" s="1">
        <f t="shared" si="236"/>
        <v>3.1540128962825209E-2</v>
      </c>
      <c r="I410" s="1">
        <f t="shared" si="236"/>
        <v>4.3525435692984499E-3</v>
      </c>
      <c r="J410" s="1">
        <f t="shared" si="236"/>
        <v>7.4489974801597025E-3</v>
      </c>
      <c r="K410" s="1">
        <f t="shared" si="236"/>
        <v>1.6770758289105857E-4</v>
      </c>
    </row>
    <row r="411" spans="1:19" x14ac:dyDescent="0.35">
      <c r="A411" s="5"/>
      <c r="B411" s="5" t="str">
        <f t="shared" si="216"/>
        <v>SPS2</v>
      </c>
      <c r="C411" s="5" t="s">
        <v>7</v>
      </c>
      <c r="D411" t="s">
        <v>231</v>
      </c>
      <c r="E411" t="s">
        <v>8</v>
      </c>
      <c r="F411" s="1">
        <f>'[1]Electricity and CHPs_IN'!B$28-F298</f>
        <v>2.8868172736775277E-2</v>
      </c>
      <c r="G411" s="1">
        <f>'[1]Electricity and CHPs_IN'!C$28-G298</f>
        <v>1.1720847373044083E-2</v>
      </c>
      <c r="H411" s="1">
        <f>'[1]Electricity and CHPs_IN'!D$28-H298</f>
        <v>3.1540128962825209E-2</v>
      </c>
      <c r="I411" s="1">
        <f>'[1]Electricity and CHPs_IN'!E$28-I298</f>
        <v>4.3525435692984499E-3</v>
      </c>
      <c r="J411" s="1">
        <f>'[1]Electricity and CHPs_IN'!F$28-J298</f>
        <v>7.4489974801597025E-3</v>
      </c>
      <c r="K411" s="1">
        <f>'[1]Electricity and CHPs_IN'!G$28-K298</f>
        <v>1.6770758289105857E-4</v>
      </c>
    </row>
    <row r="412" spans="1:19" x14ac:dyDescent="0.35">
      <c r="A412" s="5"/>
      <c r="B412" s="5" t="str">
        <f t="shared" si="216"/>
        <v>SPS2</v>
      </c>
      <c r="C412" s="5" t="s">
        <v>7</v>
      </c>
      <c r="D412" t="s">
        <v>866</v>
      </c>
      <c r="E412" t="s">
        <v>8</v>
      </c>
      <c r="F412" s="1">
        <f>F413</f>
        <v>2.8868172736775277E-2</v>
      </c>
      <c r="G412" s="1">
        <f t="shared" ref="G412:K412" si="237">G413</f>
        <v>1.1720847373044083E-2</v>
      </c>
      <c r="H412" s="1">
        <f t="shared" si="237"/>
        <v>3.1540128962825209E-2</v>
      </c>
      <c r="I412" s="1">
        <f t="shared" si="237"/>
        <v>4.3525435692984499E-3</v>
      </c>
      <c r="J412" s="1">
        <f t="shared" si="237"/>
        <v>7.4489974801597025E-3</v>
      </c>
      <c r="K412" s="1">
        <f t="shared" si="237"/>
        <v>1.6770758289105857E-4</v>
      </c>
    </row>
    <row r="413" spans="1:19" x14ac:dyDescent="0.35">
      <c r="A413" s="5"/>
      <c r="B413" s="5" t="str">
        <f t="shared" si="216"/>
        <v>SPS2</v>
      </c>
      <c r="C413" s="5" t="s">
        <v>7</v>
      </c>
      <c r="D413" t="s">
        <v>523</v>
      </c>
      <c r="E413" t="s">
        <v>8</v>
      </c>
      <c r="F413" s="1">
        <f>F411-F415</f>
        <v>2.8868172736775277E-2</v>
      </c>
      <c r="G413" s="1">
        <f t="shared" ref="G413:K413" si="238">G411-G415</f>
        <v>1.1720847373044083E-2</v>
      </c>
      <c r="H413" s="1">
        <f t="shared" si="238"/>
        <v>3.1540128962825209E-2</v>
      </c>
      <c r="I413" s="1">
        <f t="shared" si="238"/>
        <v>4.3525435692984499E-3</v>
      </c>
      <c r="J413" s="1">
        <f t="shared" si="238"/>
        <v>7.4489974801597025E-3</v>
      </c>
      <c r="K413" s="1">
        <f t="shared" si="238"/>
        <v>1.6770758289105857E-4</v>
      </c>
    </row>
    <row r="414" spans="1:19" x14ac:dyDescent="0.35">
      <c r="A414" s="5"/>
      <c r="B414" s="5" t="str">
        <f t="shared" si="216"/>
        <v>SPS2</v>
      </c>
      <c r="C414" s="5" t="s">
        <v>7</v>
      </c>
      <c r="D414" t="s">
        <v>867</v>
      </c>
      <c r="E414" t="s">
        <v>8</v>
      </c>
      <c r="F414" s="1">
        <f>F415</f>
        <v>0</v>
      </c>
      <c r="G414" s="1">
        <f t="shared" ref="G414:K414" si="239">G415</f>
        <v>0</v>
      </c>
      <c r="H414" s="1">
        <f t="shared" si="239"/>
        <v>0</v>
      </c>
      <c r="I414" s="1">
        <f t="shared" si="239"/>
        <v>0</v>
      </c>
      <c r="J414" s="1">
        <f t="shared" si="239"/>
        <v>0</v>
      </c>
      <c r="K414" s="1">
        <f t="shared" si="239"/>
        <v>0</v>
      </c>
    </row>
    <row r="415" spans="1:19" x14ac:dyDescent="0.35">
      <c r="A415" s="5"/>
      <c r="B415" s="5" t="str">
        <f t="shared" si="216"/>
        <v>SPS2</v>
      </c>
      <c r="C415" s="5" t="s">
        <v>7</v>
      </c>
      <c r="D415" t="s">
        <v>547</v>
      </c>
      <c r="E415" t="s">
        <v>8</v>
      </c>
      <c r="F415" s="1">
        <f>IFERROR(F306/F298,0)*F411</f>
        <v>0</v>
      </c>
      <c r="G415" s="1">
        <f t="shared" ref="G415:K415" si="240">IFERROR(G306/G298,0)*G411</f>
        <v>0</v>
      </c>
      <c r="H415" s="1">
        <f t="shared" si="240"/>
        <v>0</v>
      </c>
      <c r="I415" s="1">
        <f t="shared" si="240"/>
        <v>0</v>
      </c>
      <c r="J415" s="1">
        <f t="shared" si="240"/>
        <v>0</v>
      </c>
      <c r="K415" s="1">
        <f t="shared" si="240"/>
        <v>0</v>
      </c>
    </row>
    <row r="416" spans="1:19" x14ac:dyDescent="0.35">
      <c r="A416" s="5"/>
      <c r="B416" s="5" t="str">
        <f t="shared" si="216"/>
        <v>SPS2</v>
      </c>
      <c r="C416" s="5" t="s">
        <v>7</v>
      </c>
      <c r="D416" t="s">
        <v>868</v>
      </c>
      <c r="E416" t="s">
        <v>8</v>
      </c>
      <c r="F416" s="1">
        <f>SUM(F417:F418)</f>
        <v>2.4197163425410557</v>
      </c>
      <c r="G416" s="1">
        <f t="shared" ref="G416:K416" si="241">SUM(G417:G418)</f>
        <v>1.5322144074871126E-2</v>
      </c>
      <c r="H416" s="1">
        <f t="shared" si="241"/>
        <v>4.0792376964547586E-2</v>
      </c>
      <c r="I416" s="1">
        <f t="shared" si="241"/>
        <v>0</v>
      </c>
      <c r="J416" s="1">
        <f t="shared" si="241"/>
        <v>6.3615801302236751E-6</v>
      </c>
      <c r="K416" s="1">
        <f t="shared" si="241"/>
        <v>0</v>
      </c>
    </row>
    <row r="417" spans="1:11" x14ac:dyDescent="0.35">
      <c r="A417" s="5"/>
      <c r="B417" s="5" t="str">
        <f t="shared" si="216"/>
        <v>SPS2</v>
      </c>
      <c r="C417" s="5" t="s">
        <v>7</v>
      </c>
      <c r="D417" t="s">
        <v>191</v>
      </c>
      <c r="E417" t="s">
        <v>8</v>
      </c>
      <c r="F417" s="1">
        <f>'[1]Electricity and CHPs_IN'!B$24-F312</f>
        <v>2.4197163425410557</v>
      </c>
      <c r="G417" s="1">
        <f>'[1]Electricity and CHPs_IN'!C$24-G312</f>
        <v>1.5322144074871126E-2</v>
      </c>
      <c r="H417" s="1">
        <f>'[1]Electricity and CHPs_IN'!D$24-H312</f>
        <v>4.0792376964547586E-2</v>
      </c>
      <c r="I417" s="1">
        <f>'[1]Electricity and CHPs_IN'!E$24-I312</f>
        <v>0</v>
      </c>
      <c r="J417" s="1">
        <f>'[1]Electricity and CHPs_IN'!F$24-J312</f>
        <v>6.3615801302236751E-6</v>
      </c>
      <c r="K417" s="1">
        <f>'[1]Electricity and CHPs_IN'!G$24-K312</f>
        <v>0</v>
      </c>
    </row>
    <row r="418" spans="1:11" x14ac:dyDescent="0.35">
      <c r="A418" s="5"/>
      <c r="B418" s="5" t="str">
        <f t="shared" si="216"/>
        <v>SPS2</v>
      </c>
      <c r="C418" s="5" t="s">
        <v>7</v>
      </c>
      <c r="D418" t="s">
        <v>192</v>
      </c>
      <c r="E418" t="s">
        <v>8</v>
      </c>
      <c r="F418" s="1">
        <f>'[1]Electricity and CHPs_IN'!B$29-F313</f>
        <v>0</v>
      </c>
      <c r="G418" s="1">
        <f>'[1]Electricity and CHPs_IN'!C$29-G313</f>
        <v>0</v>
      </c>
      <c r="H418" s="1">
        <f>'[1]Electricity and CHPs_IN'!D$29-H313</f>
        <v>0</v>
      </c>
      <c r="I418" s="1">
        <f>'[1]Electricity and CHPs_IN'!E$29-I313</f>
        <v>0</v>
      </c>
      <c r="J418" s="1">
        <f>'[1]Electricity and CHPs_IN'!F$29-J313</f>
        <v>0</v>
      </c>
      <c r="K418" s="1">
        <f>'[1]Electricity and CHPs_IN'!G$29-K313</f>
        <v>0</v>
      </c>
    </row>
    <row r="419" spans="1:11" x14ac:dyDescent="0.35">
      <c r="A419" s="5"/>
      <c r="B419" s="5" t="str">
        <f t="shared" si="216"/>
        <v>SPS2</v>
      </c>
      <c r="C419" s="5" t="s">
        <v>7</v>
      </c>
      <c r="D419" t="s">
        <v>869</v>
      </c>
      <c r="E419" t="s">
        <v>8</v>
      </c>
      <c r="F419" s="1">
        <f>SUM(F420:F421)</f>
        <v>2.3575587138950476</v>
      </c>
      <c r="G419" s="1">
        <f t="shared" ref="G419:K419" si="242">SUM(G420:G421)</f>
        <v>1.5016041974318316E-2</v>
      </c>
      <c r="H419" s="1">
        <f t="shared" si="242"/>
        <v>4.0029100347532875E-2</v>
      </c>
      <c r="I419" s="1">
        <f t="shared" si="242"/>
        <v>0</v>
      </c>
      <c r="J419" s="1">
        <f t="shared" si="242"/>
        <v>6.3615801302236751E-6</v>
      </c>
      <c r="K419" s="1">
        <f t="shared" si="242"/>
        <v>0</v>
      </c>
    </row>
    <row r="420" spans="1:11" x14ac:dyDescent="0.35">
      <c r="A420" s="5"/>
      <c r="B420" s="5" t="str">
        <f t="shared" si="216"/>
        <v>SPS2</v>
      </c>
      <c r="C420" s="5" t="s">
        <v>7</v>
      </c>
      <c r="D420" t="s">
        <v>594</v>
      </c>
      <c r="E420" t="s">
        <v>8</v>
      </c>
      <c r="F420" s="1">
        <f>F417-F423</f>
        <v>2.3575587138950476</v>
      </c>
      <c r="G420" s="1">
        <f t="shared" ref="G420:K420" si="243">G417-G423</f>
        <v>1.5016041974318316E-2</v>
      </c>
      <c r="H420" s="1">
        <f t="shared" si="243"/>
        <v>4.0029100347532875E-2</v>
      </c>
      <c r="I420" s="1">
        <f t="shared" si="243"/>
        <v>0</v>
      </c>
      <c r="J420" s="1">
        <f t="shared" si="243"/>
        <v>6.3615801302236751E-6</v>
      </c>
      <c r="K420" s="1">
        <f t="shared" si="243"/>
        <v>0</v>
      </c>
    </row>
    <row r="421" spans="1:11" x14ac:dyDescent="0.35">
      <c r="A421" s="5"/>
      <c r="B421" s="5" t="str">
        <f t="shared" si="216"/>
        <v>SPS2</v>
      </c>
      <c r="C421" s="5" t="s">
        <v>7</v>
      </c>
      <c r="D421" t="s">
        <v>595</v>
      </c>
      <c r="E421" t="s">
        <v>8</v>
      </c>
      <c r="F421" s="1">
        <f>F418-F424</f>
        <v>0</v>
      </c>
      <c r="G421" s="1">
        <f t="shared" ref="G421:K421" si="244">G418-G424</f>
        <v>0</v>
      </c>
      <c r="H421" s="1">
        <f t="shared" si="244"/>
        <v>0</v>
      </c>
      <c r="I421" s="1">
        <f t="shared" si="244"/>
        <v>0</v>
      </c>
      <c r="J421" s="1">
        <f t="shared" si="244"/>
        <v>0</v>
      </c>
      <c r="K421" s="1">
        <f t="shared" si="244"/>
        <v>0</v>
      </c>
    </row>
    <row r="422" spans="1:11" x14ac:dyDescent="0.35">
      <c r="A422" s="5"/>
      <c r="B422" s="5" t="str">
        <f t="shared" si="216"/>
        <v>SPS2</v>
      </c>
      <c r="C422" s="5" t="s">
        <v>7</v>
      </c>
      <c r="D422" t="s">
        <v>870</v>
      </c>
      <c r="E422" t="s">
        <v>8</v>
      </c>
      <c r="F422" s="1">
        <f>SUM(F423:F424)</f>
        <v>6.2157628646008073E-2</v>
      </c>
      <c r="G422" s="1">
        <f t="shared" ref="G422:K422" si="245">SUM(G423:G424)</f>
        <v>3.0610210055281043E-4</v>
      </c>
      <c r="H422" s="1">
        <f t="shared" si="245"/>
        <v>7.6327661701471332E-4</v>
      </c>
      <c r="I422" s="1">
        <f t="shared" si="245"/>
        <v>0</v>
      </c>
      <c r="J422" s="1">
        <f t="shared" si="245"/>
        <v>0</v>
      </c>
      <c r="K422" s="1">
        <f t="shared" si="245"/>
        <v>0</v>
      </c>
    </row>
    <row r="423" spans="1:11" x14ac:dyDescent="0.35">
      <c r="A423" s="5"/>
      <c r="B423" s="5" t="str">
        <f t="shared" si="216"/>
        <v>SPS2</v>
      </c>
      <c r="C423" s="5" t="s">
        <v>7</v>
      </c>
      <c r="D423" t="s">
        <v>655</v>
      </c>
      <c r="E423" t="s">
        <v>8</v>
      </c>
      <c r="F423" s="1">
        <f>IFERROR(F344/F312,0)*F417</f>
        <v>6.2157628646008073E-2</v>
      </c>
      <c r="G423" s="1">
        <f t="shared" ref="G423:K423" si="246">IFERROR(G344/G312,0)*G417</f>
        <v>3.0610210055281043E-4</v>
      </c>
      <c r="H423" s="1">
        <f t="shared" si="246"/>
        <v>7.6327661701471332E-4</v>
      </c>
      <c r="I423" s="1">
        <f t="shared" si="246"/>
        <v>0</v>
      </c>
      <c r="J423" s="1">
        <f t="shared" si="246"/>
        <v>0</v>
      </c>
      <c r="K423" s="1">
        <f t="shared" si="246"/>
        <v>0</v>
      </c>
    </row>
    <row r="424" spans="1:11" x14ac:dyDescent="0.35">
      <c r="A424" s="5"/>
      <c r="B424" s="5" t="str">
        <f t="shared" si="216"/>
        <v>SPS2</v>
      </c>
      <c r="C424" s="5" t="s">
        <v>7</v>
      </c>
      <c r="D424" t="s">
        <v>656</v>
      </c>
      <c r="E424" t="s">
        <v>8</v>
      </c>
      <c r="F424" s="1">
        <f>IFERROR(F345/F313,0)*F418</f>
        <v>0</v>
      </c>
      <c r="G424" s="1">
        <f t="shared" ref="G424:K424" si="247">IFERROR(G345/G313,0)*G418</f>
        <v>0</v>
      </c>
      <c r="H424" s="1">
        <f t="shared" si="247"/>
        <v>0</v>
      </c>
      <c r="I424" s="1">
        <f t="shared" si="247"/>
        <v>0</v>
      </c>
      <c r="J424" s="1">
        <f t="shared" si="247"/>
        <v>0</v>
      </c>
      <c r="K424" s="1">
        <f t="shared" si="247"/>
        <v>0</v>
      </c>
    </row>
    <row r="425" spans="1:11" x14ac:dyDescent="0.35">
      <c r="A425" s="5"/>
      <c r="B425" s="5" t="str">
        <f t="shared" si="216"/>
        <v>SPS2</v>
      </c>
      <c r="C425" s="5" t="s">
        <v>7</v>
      </c>
      <c r="D425" t="s">
        <v>871</v>
      </c>
      <c r="E425" t="s">
        <v>8</v>
      </c>
      <c r="F425" s="1">
        <f>SUM(F426:F427)</f>
        <v>36.420513759253929</v>
      </c>
      <c r="G425" s="1">
        <f t="shared" ref="G425:K425" si="248">SUM(G426:G427)</f>
        <v>34.092431678721226</v>
      </c>
      <c r="H425" s="1">
        <f t="shared" si="248"/>
        <v>34.102702033923244</v>
      </c>
      <c r="I425" s="1">
        <f t="shared" si="248"/>
        <v>36.91801625902351</v>
      </c>
      <c r="J425" s="1">
        <f t="shared" si="248"/>
        <v>39.220676162265306</v>
      </c>
      <c r="K425" s="1">
        <f t="shared" si="248"/>
        <v>37.978240732682522</v>
      </c>
    </row>
    <row r="426" spans="1:11" x14ac:dyDescent="0.35">
      <c r="A426" s="5"/>
      <c r="B426" s="5" t="str">
        <f t="shared" si="216"/>
        <v>SPS2</v>
      </c>
      <c r="C426" s="5" t="s">
        <v>7</v>
      </c>
      <c r="D426" t="s">
        <v>193</v>
      </c>
      <c r="E426" t="s">
        <v>8</v>
      </c>
      <c r="F426" s="1">
        <f>'[1]Electricity and CHPs_IN'!B$26-F359</f>
        <v>36.420513759253929</v>
      </c>
      <c r="G426" s="1">
        <f>'[1]Electricity and CHPs_IN'!C$26-G359</f>
        <v>34.092431678721226</v>
      </c>
      <c r="H426" s="1">
        <f>'[1]Electricity and CHPs_IN'!D$26-H359</f>
        <v>34.102702033923244</v>
      </c>
      <c r="I426" s="1">
        <f>'[1]Electricity and CHPs_IN'!E$26-I359</f>
        <v>36.91801625902351</v>
      </c>
      <c r="J426" s="1">
        <f>'[1]Electricity and CHPs_IN'!F$26-J359</f>
        <v>34.218770651069661</v>
      </c>
      <c r="K426" s="1">
        <f>'[1]Electricity and CHPs_IN'!G$26-K359</f>
        <v>24.930666761248371</v>
      </c>
    </row>
    <row r="427" spans="1:11" x14ac:dyDescent="0.35">
      <c r="A427" s="5"/>
      <c r="B427" s="5" t="str">
        <f t="shared" si="216"/>
        <v>SPS2</v>
      </c>
      <c r="C427" s="5" t="s">
        <v>7</v>
      </c>
      <c r="D427" t="s">
        <v>194</v>
      </c>
      <c r="E427" t="s">
        <v>8</v>
      </c>
      <c r="F427" s="1">
        <f>'[1]Electricity and CHPs_IN'!B$27-F360</f>
        <v>0</v>
      </c>
      <c r="G427" s="1">
        <f>'[1]Electricity and CHPs_IN'!C$27-G360</f>
        <v>0</v>
      </c>
      <c r="H427" s="1">
        <f>'[1]Electricity and CHPs_IN'!D$27-H360</f>
        <v>0</v>
      </c>
      <c r="I427" s="1">
        <f>'[1]Electricity and CHPs_IN'!E$27-I360</f>
        <v>0</v>
      </c>
      <c r="J427" s="1">
        <f>'[1]Electricity and CHPs_IN'!F$27-J360</f>
        <v>5.0019055111956474</v>
      </c>
      <c r="K427" s="1">
        <f>'[1]Electricity and CHPs_IN'!G$27-K360</f>
        <v>13.047573971434154</v>
      </c>
    </row>
    <row r="428" spans="1:11" x14ac:dyDescent="0.35">
      <c r="A428" s="5"/>
      <c r="B428" s="5" t="str">
        <f t="shared" si="216"/>
        <v>SPS2</v>
      </c>
      <c r="C428" s="5" t="s">
        <v>7</v>
      </c>
      <c r="D428" t="s">
        <v>872</v>
      </c>
      <c r="E428" t="s">
        <v>8</v>
      </c>
      <c r="F428" s="1">
        <f>SUM(F429:F430)</f>
        <v>18.210256879626964</v>
      </c>
      <c r="G428" s="1">
        <f t="shared" ref="G428:K428" si="249">SUM(G429:G430)</f>
        <v>17.04621583936061</v>
      </c>
      <c r="H428" s="1">
        <f t="shared" si="249"/>
        <v>17.051351016961622</v>
      </c>
      <c r="I428" s="1">
        <f t="shared" si="249"/>
        <v>18.459008129511755</v>
      </c>
      <c r="J428" s="1">
        <f t="shared" si="249"/>
        <v>19.610338081132653</v>
      </c>
      <c r="K428" s="1">
        <f t="shared" si="249"/>
        <v>18.989120366341261</v>
      </c>
    </row>
    <row r="429" spans="1:11" x14ac:dyDescent="0.35">
      <c r="A429" s="5"/>
      <c r="B429" s="5" t="str">
        <f t="shared" si="216"/>
        <v>SPS2</v>
      </c>
      <c r="C429" s="5" t="s">
        <v>7</v>
      </c>
      <c r="D429" t="s">
        <v>195</v>
      </c>
      <c r="E429" t="s">
        <v>8</v>
      </c>
      <c r="F429" s="1">
        <f>IFERROR(F366/F359,0)*F426</f>
        <v>18.210256879626964</v>
      </c>
      <c r="G429" s="1">
        <f t="shared" ref="G429:K429" si="250">IFERROR(G366/G359,0)*G426</f>
        <v>17.04621583936061</v>
      </c>
      <c r="H429" s="1">
        <f t="shared" si="250"/>
        <v>17.051351016961622</v>
      </c>
      <c r="I429" s="1">
        <f t="shared" si="250"/>
        <v>18.459008129511755</v>
      </c>
      <c r="J429" s="1">
        <f t="shared" si="250"/>
        <v>17.109385325534831</v>
      </c>
      <c r="K429" s="1">
        <f t="shared" si="250"/>
        <v>12.465333380624186</v>
      </c>
    </row>
    <row r="430" spans="1:11" x14ac:dyDescent="0.35">
      <c r="A430" s="5"/>
      <c r="B430" s="5" t="str">
        <f t="shared" si="216"/>
        <v>SPS2</v>
      </c>
      <c r="C430" s="5" t="s">
        <v>7</v>
      </c>
      <c r="D430" t="s">
        <v>196</v>
      </c>
      <c r="E430" t="s">
        <v>8</v>
      </c>
      <c r="F430" s="1">
        <f>IFERROR(F367/F360,0)*F427</f>
        <v>0</v>
      </c>
      <c r="G430" s="1">
        <f t="shared" ref="G430:K430" si="251">IFERROR(G367/G360,0)*G427</f>
        <v>0</v>
      </c>
      <c r="H430" s="1">
        <f t="shared" si="251"/>
        <v>0</v>
      </c>
      <c r="I430" s="1">
        <f t="shared" si="251"/>
        <v>0</v>
      </c>
      <c r="J430" s="1">
        <f t="shared" si="251"/>
        <v>2.5009527555978237</v>
      </c>
      <c r="K430" s="1">
        <f t="shared" si="251"/>
        <v>6.5237869857170772</v>
      </c>
    </row>
    <row r="431" spans="1:11" x14ac:dyDescent="0.35">
      <c r="A431" s="5"/>
      <c r="B431" s="5" t="str">
        <f t="shared" si="216"/>
        <v>SPS2</v>
      </c>
      <c r="C431" s="5" t="s">
        <v>7</v>
      </c>
      <c r="D431" t="s">
        <v>873</v>
      </c>
      <c r="E431" t="s">
        <v>8</v>
      </c>
      <c r="F431" s="1">
        <f>SUM(F432:F433)</f>
        <v>18.210256879626964</v>
      </c>
      <c r="G431" s="1">
        <f t="shared" ref="G431:K431" si="252">SUM(G432:G433)</f>
        <v>17.046215839360617</v>
      </c>
      <c r="H431" s="1">
        <f t="shared" si="252"/>
        <v>17.051351016961622</v>
      </c>
      <c r="I431" s="1">
        <f t="shared" si="252"/>
        <v>18.459008129511755</v>
      </c>
      <c r="J431" s="1">
        <f t="shared" si="252"/>
        <v>19.610338081132653</v>
      </c>
      <c r="K431" s="1">
        <f t="shared" si="252"/>
        <v>18.989120366341261</v>
      </c>
    </row>
    <row r="432" spans="1:11" x14ac:dyDescent="0.35">
      <c r="A432" s="5"/>
      <c r="B432" s="5" t="str">
        <f t="shared" si="216"/>
        <v>SPS2</v>
      </c>
      <c r="C432" s="5" t="s">
        <v>7</v>
      </c>
      <c r="D432" t="s">
        <v>197</v>
      </c>
      <c r="E432" t="s">
        <v>8</v>
      </c>
      <c r="F432" s="1">
        <f>F426-F429</f>
        <v>18.210256879626964</v>
      </c>
      <c r="G432" s="1">
        <f t="shared" ref="G432:K432" si="253">G426-G429</f>
        <v>17.046215839360617</v>
      </c>
      <c r="H432" s="1">
        <f t="shared" si="253"/>
        <v>17.051351016961622</v>
      </c>
      <c r="I432" s="1">
        <f t="shared" si="253"/>
        <v>18.459008129511755</v>
      </c>
      <c r="J432" s="1">
        <f t="shared" si="253"/>
        <v>17.109385325534831</v>
      </c>
      <c r="K432" s="1">
        <f t="shared" si="253"/>
        <v>12.465333380624186</v>
      </c>
    </row>
    <row r="433" spans="1:11" x14ac:dyDescent="0.35">
      <c r="A433" s="5"/>
      <c r="B433" s="5" t="str">
        <f t="shared" si="216"/>
        <v>SPS2</v>
      </c>
      <c r="C433" s="5" t="s">
        <v>7</v>
      </c>
      <c r="D433" t="s">
        <v>198</v>
      </c>
      <c r="E433" t="s">
        <v>8</v>
      </c>
      <c r="F433" s="1">
        <f>F427-F430</f>
        <v>0</v>
      </c>
      <c r="G433" s="1">
        <f t="shared" ref="G433:K433" si="254">G427-G430</f>
        <v>0</v>
      </c>
      <c r="H433" s="1">
        <f t="shared" si="254"/>
        <v>0</v>
      </c>
      <c r="I433" s="1">
        <f t="shared" si="254"/>
        <v>0</v>
      </c>
      <c r="J433" s="1">
        <f t="shared" si="254"/>
        <v>2.5009527555978237</v>
      </c>
      <c r="K433" s="1">
        <f t="shared" si="254"/>
        <v>6.5237869857170772</v>
      </c>
    </row>
    <row r="434" spans="1:11" x14ac:dyDescent="0.35">
      <c r="A434" s="5"/>
      <c r="B434" s="5" t="str">
        <f t="shared" si="216"/>
        <v>SPS2</v>
      </c>
      <c r="C434" s="5" t="s">
        <v>7</v>
      </c>
      <c r="D434" t="s">
        <v>874</v>
      </c>
      <c r="E434" t="s">
        <v>8</v>
      </c>
      <c r="F434" s="1">
        <f>F435</f>
        <v>0.6691602868211346</v>
      </c>
      <c r="G434" s="1">
        <f t="shared" ref="G434:K434" si="255">G435</f>
        <v>6.7350193346699047E-2</v>
      </c>
      <c r="H434" s="1">
        <f t="shared" si="255"/>
        <v>1.3400999435226489E-2</v>
      </c>
      <c r="I434" s="1">
        <f t="shared" si="255"/>
        <v>1.6457851390219543E-2</v>
      </c>
      <c r="J434" s="1">
        <f t="shared" si="255"/>
        <v>1.9849913698577981</v>
      </c>
      <c r="K434" s="1">
        <f t="shared" si="255"/>
        <v>2.6026355898737199</v>
      </c>
    </row>
    <row r="435" spans="1:11" x14ac:dyDescent="0.35">
      <c r="A435" s="5"/>
      <c r="B435" s="5" t="str">
        <f t="shared" si="216"/>
        <v>SPS2</v>
      </c>
      <c r="C435" s="5" t="s">
        <v>7</v>
      </c>
      <c r="D435" t="s">
        <v>199</v>
      </c>
      <c r="E435" t="s">
        <v>8</v>
      </c>
      <c r="F435" s="1">
        <f>'[1]Electricity and CHPs_IN'!B$25-F378</f>
        <v>0.6691602868211346</v>
      </c>
      <c r="G435" s="1">
        <f>'[1]Electricity and CHPs_IN'!C$25-G378</f>
        <v>6.7350193346699047E-2</v>
      </c>
      <c r="H435" s="1">
        <f>'[1]Electricity and CHPs_IN'!D$25-H378</f>
        <v>1.3400999435226489E-2</v>
      </c>
      <c r="I435" s="1">
        <f>'[1]Electricity and CHPs_IN'!E$25-I378</f>
        <v>1.6457851390219543E-2</v>
      </c>
      <c r="J435" s="1">
        <f>'[1]Electricity and CHPs_IN'!F$25-J378</f>
        <v>1.9849913698577981</v>
      </c>
      <c r="K435" s="1">
        <f>'[1]Electricity and CHPs_IN'!G$25-K378</f>
        <v>2.6026355898737199</v>
      </c>
    </row>
    <row r="436" spans="1:11" x14ac:dyDescent="0.35">
      <c r="A436" s="5"/>
      <c r="B436" s="5" t="str">
        <f t="shared" ref="B436:B499" si="256">B435</f>
        <v>SPS2</v>
      </c>
      <c r="C436" s="5" t="s">
        <v>7</v>
      </c>
      <c r="D436" t="s">
        <v>875</v>
      </c>
      <c r="E436" t="s">
        <v>8</v>
      </c>
      <c r="F436" s="1">
        <f>+F437</f>
        <v>0</v>
      </c>
      <c r="G436" s="1">
        <f t="shared" ref="G436:K436" si="257">+G437</f>
        <v>0</v>
      </c>
      <c r="H436" s="1">
        <f t="shared" si="257"/>
        <v>0</v>
      </c>
      <c r="I436" s="1">
        <f t="shared" si="257"/>
        <v>0</v>
      </c>
      <c r="J436" s="1">
        <f t="shared" si="257"/>
        <v>1.2321230821104666E-2</v>
      </c>
      <c r="K436" s="1">
        <f t="shared" si="257"/>
        <v>1.271685280572722E-2</v>
      </c>
    </row>
    <row r="437" spans="1:11" x14ac:dyDescent="0.35">
      <c r="A437" s="5"/>
      <c r="B437" s="5" t="str">
        <f t="shared" si="256"/>
        <v>SPS2</v>
      </c>
      <c r="C437" s="5" t="s">
        <v>7</v>
      </c>
      <c r="D437" t="s">
        <v>200</v>
      </c>
      <c r="E437" t="s">
        <v>8</v>
      </c>
      <c r="F437" s="1">
        <f>'[1]Electricity and CHPs_IN'!B$30-F396</f>
        <v>0</v>
      </c>
      <c r="G437" s="1">
        <f>'[1]Electricity and CHPs_IN'!C$30-G396</f>
        <v>0</v>
      </c>
      <c r="H437" s="1">
        <f>'[1]Electricity and CHPs_IN'!D$30-H396</f>
        <v>0</v>
      </c>
      <c r="I437" s="1">
        <f>'[1]Electricity and CHPs_IN'!E$30-I396</f>
        <v>0</v>
      </c>
      <c r="J437" s="1">
        <f>'[1]Electricity and CHPs_IN'!F$30-J396</f>
        <v>1.2321230821104666E-2</v>
      </c>
      <c r="K437" s="1">
        <f>'[1]Electricity and CHPs_IN'!G$30-K396</f>
        <v>1.271685280572722E-2</v>
      </c>
    </row>
    <row r="438" spans="1:11" x14ac:dyDescent="0.35">
      <c r="A438" s="5"/>
      <c r="B438" s="5" t="str">
        <f t="shared" si="256"/>
        <v>SPS2</v>
      </c>
      <c r="C438" s="5" t="s">
        <v>7</v>
      </c>
      <c r="D438" t="s">
        <v>876</v>
      </c>
      <c r="E438" t="str">
        <f>E393</f>
        <v>PJ/yr.</v>
      </c>
      <c r="F438" s="1">
        <f>SUM(F439,F445,F447,F453,F455,F457,F459)</f>
        <v>8.7548515818255357</v>
      </c>
      <c r="G438" s="1">
        <f t="shared" ref="G438:K438" si="258">SUM(G439,G445,G447,G453,G455,G457,G459)</f>
        <v>12.61094282394374</v>
      </c>
      <c r="H438" s="1">
        <f t="shared" si="258"/>
        <v>9.866382550722264</v>
      </c>
      <c r="I438" s="1">
        <f t="shared" si="258"/>
        <v>9.7785342223723699</v>
      </c>
      <c r="J438" s="1">
        <f t="shared" si="258"/>
        <v>9.9329863766665589</v>
      </c>
      <c r="K438" s="1">
        <f t="shared" si="258"/>
        <v>11.15309365144676</v>
      </c>
    </row>
    <row r="439" spans="1:11" x14ac:dyDescent="0.35">
      <c r="A439" s="5"/>
      <c r="B439" s="5" t="str">
        <f t="shared" si="256"/>
        <v>SPS2</v>
      </c>
      <c r="C439" s="5" t="s">
        <v>7</v>
      </c>
      <c r="D439" t="s">
        <v>877</v>
      </c>
      <c r="E439" t="str">
        <f>E396</f>
        <v>PJ/yr.</v>
      </c>
      <c r="F439" s="1">
        <f>+F440</f>
        <v>4.3961631928016809</v>
      </c>
      <c r="G439" s="1">
        <f t="shared" ref="G439:K439" si="259">+G440</f>
        <v>5.2108791738889941</v>
      </c>
      <c r="H439" s="1">
        <f t="shared" si="259"/>
        <v>2.9989301003095683</v>
      </c>
      <c r="I439" s="1">
        <f t="shared" si="259"/>
        <v>2.3679363879106616</v>
      </c>
      <c r="J439" s="1">
        <f t="shared" si="259"/>
        <v>4.2892288837315746</v>
      </c>
      <c r="K439" s="1">
        <f t="shared" si="259"/>
        <v>5.7349835045074045</v>
      </c>
    </row>
    <row r="440" spans="1:11" x14ac:dyDescent="0.35">
      <c r="A440" s="5"/>
      <c r="B440" s="5" t="str">
        <f t="shared" si="256"/>
        <v>SPS2</v>
      </c>
      <c r="C440" s="5" t="s">
        <v>7</v>
      </c>
      <c r="D440" t="s">
        <v>201</v>
      </c>
      <c r="E440" t="str">
        <f>E397</f>
        <v>PJ/yr.</v>
      </c>
      <c r="F440" s="1">
        <f>SUM(F442:F444)</f>
        <v>4.3961631928016809</v>
      </c>
      <c r="G440" s="1">
        <f t="shared" ref="G440:K440" si="260">SUM(G442:G444)</f>
        <v>5.2108791738889941</v>
      </c>
      <c r="H440" s="1">
        <f t="shared" si="260"/>
        <v>2.9989301003095683</v>
      </c>
      <c r="I440" s="1">
        <f t="shared" si="260"/>
        <v>2.3679363879106616</v>
      </c>
      <c r="J440" s="1">
        <f t="shared" si="260"/>
        <v>4.2892288837315746</v>
      </c>
      <c r="K440" s="1">
        <f t="shared" si="260"/>
        <v>5.7349835045074045</v>
      </c>
    </row>
    <row r="441" spans="1:11" x14ac:dyDescent="0.35">
      <c r="A441" s="5"/>
      <c r="B441" s="5" t="str">
        <f t="shared" si="256"/>
        <v>SPS2</v>
      </c>
      <c r="C441" s="5" t="s">
        <v>7</v>
      </c>
      <c r="D441" t="s">
        <v>878</v>
      </c>
      <c r="E441" t="str">
        <f>E396</f>
        <v>PJ/yr.</v>
      </c>
      <c r="F441" s="1">
        <f>F442</f>
        <v>2.0281172748939338</v>
      </c>
      <c r="G441" s="1">
        <f t="shared" ref="G441:K441" si="261">G442</f>
        <v>2.8429488755225907</v>
      </c>
      <c r="H441" s="1">
        <f t="shared" si="261"/>
        <v>0.63099290813751929</v>
      </c>
      <c r="I441" s="1">
        <f t="shared" si="261"/>
        <v>0</v>
      </c>
      <c r="J441" s="1">
        <f t="shared" si="261"/>
        <v>0</v>
      </c>
      <c r="K441" s="1">
        <f t="shared" si="261"/>
        <v>0</v>
      </c>
    </row>
    <row r="442" spans="1:11" x14ac:dyDescent="0.35">
      <c r="A442" s="5"/>
      <c r="B442" s="5" t="str">
        <f t="shared" si="256"/>
        <v>SPS2</v>
      </c>
      <c r="C442" s="5" t="s">
        <v>7</v>
      </c>
      <c r="D442" t="s">
        <v>596</v>
      </c>
      <c r="E442" t="str">
        <f>E397</f>
        <v>PJ/yr.</v>
      </c>
      <c r="F442" s="1">
        <f>'[1]Electricity and CHPs_IN'!B$90</f>
        <v>2.0281172748939338</v>
      </c>
      <c r="G442" s="1">
        <f>'[1]Electricity and CHPs_IN'!C$90</f>
        <v>2.8429488755225907</v>
      </c>
      <c r="H442" s="1">
        <f>'[1]Electricity and CHPs_IN'!D$90</f>
        <v>0.63099290813751929</v>
      </c>
      <c r="I442" s="1">
        <f>'[1]Electricity and CHPs_IN'!E$90</f>
        <v>0</v>
      </c>
      <c r="J442" s="1">
        <f>'[1]Electricity and CHPs_IN'!F$90</f>
        <v>0</v>
      </c>
      <c r="K442" s="1">
        <f>'[1]Electricity and CHPs_IN'!G$90</f>
        <v>0</v>
      </c>
    </row>
    <row r="443" spans="1:11" x14ac:dyDescent="0.35">
      <c r="A443" s="5"/>
      <c r="B443" s="5" t="str">
        <f t="shared" si="256"/>
        <v>SPS2</v>
      </c>
      <c r="C443" s="5" t="s">
        <v>7</v>
      </c>
      <c r="D443" t="s">
        <v>879</v>
      </c>
      <c r="E443" t="str">
        <f>E397</f>
        <v>PJ/yr.</v>
      </c>
      <c r="F443" s="1">
        <f>F444</f>
        <v>1.1840229589538735</v>
      </c>
      <c r="G443" s="1">
        <f t="shared" ref="G443:K443" si="262">G444</f>
        <v>1.1839651491832015</v>
      </c>
      <c r="H443" s="1">
        <f t="shared" si="262"/>
        <v>1.1839685960860244</v>
      </c>
      <c r="I443" s="1">
        <f t="shared" si="262"/>
        <v>1.1839681939553308</v>
      </c>
      <c r="J443" s="1">
        <f t="shared" si="262"/>
        <v>2.1446144418657873</v>
      </c>
      <c r="K443" s="1">
        <f t="shared" si="262"/>
        <v>2.8674917522537022</v>
      </c>
    </row>
    <row r="444" spans="1:11" x14ac:dyDescent="0.35">
      <c r="A444" s="5"/>
      <c r="B444" s="5" t="str">
        <f t="shared" si="256"/>
        <v>SPS2</v>
      </c>
      <c r="C444" s="5" t="s">
        <v>7</v>
      </c>
      <c r="D444" t="s">
        <v>657</v>
      </c>
      <c r="E444" t="str">
        <f>E398</f>
        <v>PJ/yr.</v>
      </c>
      <c r="F444" s="1">
        <f>'[1]Electricity and CHPs_IN'!B$91</f>
        <v>1.1840229589538735</v>
      </c>
      <c r="G444" s="1">
        <f>'[1]Electricity and CHPs_IN'!C$91</f>
        <v>1.1839651491832015</v>
      </c>
      <c r="H444" s="1">
        <f>'[1]Electricity and CHPs_IN'!D$91</f>
        <v>1.1839685960860244</v>
      </c>
      <c r="I444" s="1">
        <f>'[1]Electricity and CHPs_IN'!E$91</f>
        <v>1.1839681939553308</v>
      </c>
      <c r="J444" s="1">
        <f>'[1]Electricity and CHPs_IN'!F$91</f>
        <v>2.1446144418657873</v>
      </c>
      <c r="K444" s="1">
        <f>'[1]Electricity and CHPs_IN'!G$91</f>
        <v>2.8674917522537022</v>
      </c>
    </row>
    <row r="445" spans="1:11" x14ac:dyDescent="0.35">
      <c r="A445" s="5"/>
      <c r="B445" s="5" t="str">
        <f t="shared" si="256"/>
        <v>SPS2</v>
      </c>
      <c r="C445" s="5" t="s">
        <v>7</v>
      </c>
      <c r="D445" t="s">
        <v>880</v>
      </c>
      <c r="E445" t="str">
        <f>E398</f>
        <v>PJ/yr.</v>
      </c>
      <c r="F445" s="1">
        <f>F446</f>
        <v>1.4500750022345674</v>
      </c>
      <c r="G445" s="1">
        <f t="shared" ref="G445:K445" si="263">G446</f>
        <v>3.8015512173085249</v>
      </c>
      <c r="H445" s="1">
        <f t="shared" si="263"/>
        <v>3.7980214619961394</v>
      </c>
      <c r="I445" s="1">
        <f t="shared" si="263"/>
        <v>1.0687035992549894</v>
      </c>
      <c r="J445" s="1">
        <f t="shared" si="263"/>
        <v>0</v>
      </c>
      <c r="K445" s="1">
        <f t="shared" si="263"/>
        <v>0</v>
      </c>
    </row>
    <row r="446" spans="1:11" x14ac:dyDescent="0.35">
      <c r="A446" s="5"/>
      <c r="B446" s="5" t="str">
        <f t="shared" si="256"/>
        <v>SPS2</v>
      </c>
      <c r="C446" s="5" t="s">
        <v>7</v>
      </c>
      <c r="D446" t="s">
        <v>202</v>
      </c>
      <c r="E446" t="str">
        <f>E399</f>
        <v>PJ/yr.</v>
      </c>
      <c r="F446" s="1">
        <f>'[1]Electricity and CHPs_IN'!B$92</f>
        <v>1.4500750022345674</v>
      </c>
      <c r="G446" s="1">
        <f>'[1]Electricity and CHPs_IN'!C$92</f>
        <v>3.8015512173085249</v>
      </c>
      <c r="H446" s="1">
        <f>'[1]Electricity and CHPs_IN'!D$92</f>
        <v>3.7980214619961394</v>
      </c>
      <c r="I446" s="1">
        <f>'[1]Electricity and CHPs_IN'!E$92</f>
        <v>1.0687035992549894</v>
      </c>
      <c r="J446" s="1">
        <f>'[1]Electricity and CHPs_IN'!F$92</f>
        <v>0</v>
      </c>
      <c r="K446" s="1">
        <f>'[1]Electricity and CHPs_IN'!G$92</f>
        <v>0</v>
      </c>
    </row>
    <row r="447" spans="1:11" x14ac:dyDescent="0.35">
      <c r="A447" s="5"/>
      <c r="B447" s="5" t="str">
        <f t="shared" si="256"/>
        <v>SPS2</v>
      </c>
      <c r="C447" s="5" t="s">
        <v>7</v>
      </c>
      <c r="D447" t="s">
        <v>881</v>
      </c>
      <c r="E447" t="str">
        <f>E399</f>
        <v>PJ/yr.</v>
      </c>
      <c r="F447" s="1">
        <f>F448</f>
        <v>0.21548201131922737</v>
      </c>
      <c r="G447" s="1">
        <f t="shared" ref="G447:K447" si="264">G448</f>
        <v>0.21627392381577321</v>
      </c>
      <c r="H447" s="1">
        <f t="shared" si="264"/>
        <v>4.9875751531787537E-3</v>
      </c>
      <c r="I447" s="1">
        <f t="shared" si="264"/>
        <v>7.5757626867762901E-4</v>
      </c>
      <c r="J447" s="1">
        <f t="shared" si="264"/>
        <v>3.2537598330043384E-4</v>
      </c>
      <c r="K447" s="1">
        <f t="shared" si="264"/>
        <v>1.494460335370675E-5</v>
      </c>
    </row>
    <row r="448" spans="1:11" x14ac:dyDescent="0.35">
      <c r="A448" s="5"/>
      <c r="B448" s="5" t="str">
        <f t="shared" si="256"/>
        <v>SPS2</v>
      </c>
      <c r="C448" s="5" t="s">
        <v>7</v>
      </c>
      <c r="D448" t="s">
        <v>203</v>
      </c>
      <c r="E448" t="str">
        <f>E400</f>
        <v>PJ/yr.</v>
      </c>
      <c r="F448" s="1">
        <f>'[1]Electricity and CHPs_IN'!B$93</f>
        <v>0.21548201131922737</v>
      </c>
      <c r="G448" s="1">
        <f>'[1]Electricity and CHPs_IN'!C$93</f>
        <v>0.21627392381577321</v>
      </c>
      <c r="H448" s="1">
        <f>'[1]Electricity and CHPs_IN'!D$93</f>
        <v>4.9875751531787537E-3</v>
      </c>
      <c r="I448" s="1">
        <f>'[1]Electricity and CHPs_IN'!E$93</f>
        <v>7.5757626867762901E-4</v>
      </c>
      <c r="J448" s="1">
        <f>'[1]Electricity and CHPs_IN'!F$93</f>
        <v>3.2537598330043384E-4</v>
      </c>
      <c r="K448" s="1">
        <f>'[1]Electricity and CHPs_IN'!G$93</f>
        <v>1.494460335370675E-5</v>
      </c>
    </row>
    <row r="449" spans="1:11" x14ac:dyDescent="0.35">
      <c r="A449" s="5"/>
      <c r="B449" s="5" t="str">
        <f t="shared" si="256"/>
        <v>SPS2</v>
      </c>
      <c r="C449" s="5" t="s">
        <v>7</v>
      </c>
      <c r="D449" t="s">
        <v>883</v>
      </c>
      <c r="E449" t="str">
        <f>E399</f>
        <v>PJ/yr.</v>
      </c>
      <c r="F449" s="1">
        <f>F450</f>
        <v>0.21548201131922737</v>
      </c>
      <c r="G449" s="1">
        <f t="shared" ref="G449:K449" si="265">G450</f>
        <v>0.21627392381577321</v>
      </c>
      <c r="H449" s="1">
        <f t="shared" si="265"/>
        <v>4.9875751531787537E-3</v>
      </c>
      <c r="I449" s="1">
        <f t="shared" si="265"/>
        <v>7.5757626867762901E-4</v>
      </c>
      <c r="J449" s="1">
        <f t="shared" si="265"/>
        <v>3.2537598330043384E-4</v>
      </c>
      <c r="K449" s="1">
        <f t="shared" si="265"/>
        <v>1.494460335370675E-5</v>
      </c>
    </row>
    <row r="450" spans="1:11" x14ac:dyDescent="0.35">
      <c r="A450" s="5"/>
      <c r="B450" s="5" t="str">
        <f t="shared" si="256"/>
        <v>SPS2</v>
      </c>
      <c r="C450" s="5" t="s">
        <v>7</v>
      </c>
      <c r="D450" t="s">
        <v>882</v>
      </c>
      <c r="E450" t="str">
        <f>E400</f>
        <v>PJ/yr.</v>
      </c>
      <c r="F450" s="1">
        <f>F448</f>
        <v>0.21548201131922737</v>
      </c>
      <c r="G450" s="1">
        <f t="shared" ref="G450:K450" si="266">G448</f>
        <v>0.21627392381577321</v>
      </c>
      <c r="H450" s="1">
        <f t="shared" si="266"/>
        <v>4.9875751531787537E-3</v>
      </c>
      <c r="I450" s="1">
        <f t="shared" si="266"/>
        <v>7.5757626867762901E-4</v>
      </c>
      <c r="J450" s="1">
        <f t="shared" si="266"/>
        <v>3.2537598330043384E-4</v>
      </c>
      <c r="K450" s="1">
        <f t="shared" si="266"/>
        <v>1.494460335370675E-5</v>
      </c>
    </row>
    <row r="451" spans="1:11" x14ac:dyDescent="0.35">
      <c r="A451" s="5"/>
      <c r="B451" s="5" t="str">
        <f t="shared" si="256"/>
        <v>SPS2</v>
      </c>
      <c r="C451" s="5" t="s">
        <v>7</v>
      </c>
      <c r="D451" t="s">
        <v>885</v>
      </c>
      <c r="E451" t="str">
        <f>E400</f>
        <v>PJ/yr.</v>
      </c>
      <c r="F451" s="1">
        <f>F452</f>
        <v>0</v>
      </c>
      <c r="G451" s="1">
        <f t="shared" ref="G451:K451" si="267">G452</f>
        <v>0</v>
      </c>
      <c r="H451" s="1">
        <f t="shared" si="267"/>
        <v>0</v>
      </c>
      <c r="I451" s="1">
        <f t="shared" si="267"/>
        <v>0</v>
      </c>
      <c r="J451" s="1">
        <f t="shared" si="267"/>
        <v>0</v>
      </c>
      <c r="K451" s="1">
        <f t="shared" si="267"/>
        <v>0</v>
      </c>
    </row>
    <row r="452" spans="1:11" x14ac:dyDescent="0.35">
      <c r="A452" s="5"/>
      <c r="B452" s="5" t="str">
        <f t="shared" si="256"/>
        <v>SPS2</v>
      </c>
      <c r="C452" s="5" t="s">
        <v>7</v>
      </c>
      <c r="D452" t="s">
        <v>884</v>
      </c>
      <c r="E452" t="str">
        <f>E401</f>
        <v>PJ/yr.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 x14ac:dyDescent="0.35">
      <c r="A453" s="5"/>
      <c r="B453" s="5" t="str">
        <f t="shared" si="256"/>
        <v>SPS2</v>
      </c>
      <c r="C453" s="5" t="s">
        <v>7</v>
      </c>
      <c r="D453" t="s">
        <v>886</v>
      </c>
      <c r="E453" t="str">
        <f>E400</f>
        <v>PJ/yr.</v>
      </c>
      <c r="F453" s="1">
        <f>F454</f>
        <v>2.6931313754700605</v>
      </c>
      <c r="G453" s="1">
        <f t="shared" ref="G453:K453" si="268">G454</f>
        <v>2.430542651419509</v>
      </c>
      <c r="H453" s="1">
        <f t="shared" si="268"/>
        <v>2.0839081683082412</v>
      </c>
      <c r="I453" s="1">
        <f t="shared" si="268"/>
        <v>2.6918510381027279</v>
      </c>
      <c r="J453" s="1">
        <f t="shared" si="268"/>
        <v>1.6117374109503344</v>
      </c>
      <c r="K453" s="1">
        <f t="shared" si="268"/>
        <v>0.96507156145922657</v>
      </c>
    </row>
    <row r="454" spans="1:11" x14ac:dyDescent="0.35">
      <c r="A454" s="5"/>
      <c r="B454" s="5" t="str">
        <f t="shared" si="256"/>
        <v>SPS2</v>
      </c>
      <c r="C454" s="5" t="s">
        <v>7</v>
      </c>
      <c r="D454" t="s">
        <v>204</v>
      </c>
      <c r="E454" t="str">
        <f>E401</f>
        <v>PJ/yr.</v>
      </c>
      <c r="F454" s="1">
        <f>'[1]Electricity and CHPs_IN'!B$94</f>
        <v>2.6931313754700605</v>
      </c>
      <c r="G454" s="1">
        <f>'[1]Electricity and CHPs_IN'!C$94</f>
        <v>2.430542651419509</v>
      </c>
      <c r="H454" s="1">
        <f>'[1]Electricity and CHPs_IN'!D$94</f>
        <v>2.0839081683082412</v>
      </c>
      <c r="I454" s="1">
        <f>'[1]Electricity and CHPs_IN'!E$94</f>
        <v>2.6918510381027279</v>
      </c>
      <c r="J454" s="1">
        <f>'[1]Electricity and CHPs_IN'!F$94</f>
        <v>1.6117374109503344</v>
      </c>
      <c r="K454" s="1">
        <f>'[1]Electricity and CHPs_IN'!G$94</f>
        <v>0.96507156145922657</v>
      </c>
    </row>
    <row r="455" spans="1:11" x14ac:dyDescent="0.35">
      <c r="A455" s="5"/>
      <c r="B455" s="5" t="str">
        <f t="shared" si="256"/>
        <v>SPS2</v>
      </c>
      <c r="C455" s="5" t="s">
        <v>7</v>
      </c>
      <c r="D455" t="s">
        <v>887</v>
      </c>
      <c r="E455" t="str">
        <f>E401</f>
        <v>PJ/yr.</v>
      </c>
      <c r="F455" s="1">
        <f>F456</f>
        <v>0</v>
      </c>
      <c r="G455" s="1">
        <f t="shared" ref="G455:K455" si="269">G456</f>
        <v>0</v>
      </c>
      <c r="H455" s="1">
        <f t="shared" si="269"/>
        <v>0</v>
      </c>
      <c r="I455" s="1">
        <f t="shared" si="269"/>
        <v>4.6503003208537793E-4</v>
      </c>
      <c r="J455" s="1">
        <f t="shared" si="269"/>
        <v>4.5982300479799234E-4</v>
      </c>
      <c r="K455" s="1">
        <f t="shared" si="269"/>
        <v>4.6412476256809971E-4</v>
      </c>
    </row>
    <row r="456" spans="1:11" x14ac:dyDescent="0.35">
      <c r="A456" s="5"/>
      <c r="B456" s="5" t="str">
        <f t="shared" si="256"/>
        <v>SPS2</v>
      </c>
      <c r="C456" s="5" t="s">
        <v>7</v>
      </c>
      <c r="D456" t="s">
        <v>205</v>
      </c>
      <c r="E456" t="str">
        <f>E402</f>
        <v>PJ/yr.</v>
      </c>
      <c r="F456" s="1">
        <f>'[1]Electricity and CHPs_IN'!B$95</f>
        <v>0</v>
      </c>
      <c r="G456" s="1">
        <f>'[1]Electricity and CHPs_IN'!C$95</f>
        <v>0</v>
      </c>
      <c r="H456" s="1">
        <f>'[1]Electricity and CHPs_IN'!D$95</f>
        <v>0</v>
      </c>
      <c r="I456" s="1">
        <f>'[1]Electricity and CHPs_IN'!E$95</f>
        <v>4.6503003208537793E-4</v>
      </c>
      <c r="J456" s="1">
        <f>'[1]Electricity and CHPs_IN'!F$95</f>
        <v>4.5982300479799234E-4</v>
      </c>
      <c r="K456" s="1">
        <f>'[1]Electricity and CHPs_IN'!G$95</f>
        <v>4.6412476256809971E-4</v>
      </c>
    </row>
    <row r="457" spans="1:11" x14ac:dyDescent="0.35">
      <c r="A457" s="5"/>
      <c r="B457" s="5" t="str">
        <f t="shared" si="256"/>
        <v>SPS2</v>
      </c>
      <c r="C457" s="5" t="s">
        <v>7</v>
      </c>
      <c r="D457" t="s">
        <v>888</v>
      </c>
      <c r="E457" t="str">
        <f>E402</f>
        <v>PJ/yr.</v>
      </c>
      <c r="F457" s="1">
        <f>F458</f>
        <v>0</v>
      </c>
      <c r="G457" s="1">
        <f t="shared" ref="G457:K457" si="270">G458</f>
        <v>0</v>
      </c>
      <c r="H457" s="1">
        <f t="shared" si="270"/>
        <v>0</v>
      </c>
      <c r="I457" s="1">
        <f t="shared" si="270"/>
        <v>0</v>
      </c>
      <c r="J457" s="1">
        <f t="shared" si="270"/>
        <v>6.6087511379219355E-4</v>
      </c>
      <c r="K457" s="1">
        <f t="shared" si="270"/>
        <v>3.0016415376467369E-4</v>
      </c>
    </row>
    <row r="458" spans="1:11" x14ac:dyDescent="0.35">
      <c r="A458" s="5"/>
      <c r="B458" s="5" t="str">
        <f t="shared" si="256"/>
        <v>SPS2</v>
      </c>
      <c r="C458" s="5" t="s">
        <v>7</v>
      </c>
      <c r="D458" t="s">
        <v>232</v>
      </c>
      <c r="E458" t="str">
        <f>E403</f>
        <v>PJ/yr.</v>
      </c>
      <c r="F458" s="1">
        <f>'[1]Electricity and CHPs_IN'!B$96</f>
        <v>0</v>
      </c>
      <c r="G458" s="1">
        <f>'[1]Electricity and CHPs_IN'!C$96</f>
        <v>0</v>
      </c>
      <c r="H458" s="1">
        <f>'[1]Electricity and CHPs_IN'!D$96</f>
        <v>0</v>
      </c>
      <c r="I458" s="1">
        <f>'[1]Electricity and CHPs_IN'!E$96</f>
        <v>0</v>
      </c>
      <c r="J458" s="1">
        <f>'[1]Electricity and CHPs_IN'!F$96</f>
        <v>6.6087511379219355E-4</v>
      </c>
      <c r="K458" s="1">
        <f>'[1]Electricity and CHPs_IN'!G$96</f>
        <v>3.0016415376467369E-4</v>
      </c>
    </row>
    <row r="459" spans="1:11" x14ac:dyDescent="0.35">
      <c r="A459" s="5"/>
      <c r="B459" s="5" t="str">
        <f t="shared" si="256"/>
        <v>SPS2</v>
      </c>
      <c r="C459" s="5" t="s">
        <v>7</v>
      </c>
      <c r="D459" t="s">
        <v>889</v>
      </c>
      <c r="E459" t="str">
        <f>E402</f>
        <v>PJ/yr.</v>
      </c>
      <c r="F459" s="1">
        <f>F460</f>
        <v>0</v>
      </c>
      <c r="G459" s="1">
        <f t="shared" ref="G459" si="271">G460</f>
        <v>0.9516958575109371</v>
      </c>
      <c r="H459" s="1">
        <f>H460</f>
        <v>0.98053524495513555</v>
      </c>
      <c r="I459" s="1">
        <f t="shared" ref="I459" si="272">I460</f>
        <v>3.6488205908032274</v>
      </c>
      <c r="J459" s="1">
        <f t="shared" ref="J459" si="273">J460</f>
        <v>4.0305740078827608</v>
      </c>
      <c r="K459" s="1">
        <f t="shared" ref="K459" si="274">K460</f>
        <v>4.452259351960441</v>
      </c>
    </row>
    <row r="460" spans="1:11" x14ac:dyDescent="0.35">
      <c r="A460" s="5"/>
      <c r="B460" s="5" t="str">
        <f t="shared" si="256"/>
        <v>SPS2</v>
      </c>
      <c r="C460" s="5" t="s">
        <v>7</v>
      </c>
      <c r="D460" t="s">
        <v>890</v>
      </c>
      <c r="E460" t="str">
        <f>E403</f>
        <v>PJ/yr.</v>
      </c>
      <c r="F460" s="1">
        <f>'[1]Electricity and CHPs_IN'!B$97</f>
        <v>0</v>
      </c>
      <c r="G460" s="1">
        <f>'[1]Electricity and CHPs_IN'!C$97</f>
        <v>0.9516958575109371</v>
      </c>
      <c r="H460" s="1">
        <f>'[1]Electricity and CHPs_IN'!D$97</f>
        <v>0.98053524495513555</v>
      </c>
      <c r="I460" s="1">
        <f>'[1]Electricity and CHPs_IN'!E$97</f>
        <v>3.6488205908032274</v>
      </c>
      <c r="J460" s="1">
        <f>'[1]Electricity and CHPs_IN'!F$97</f>
        <v>4.0305740078827608</v>
      </c>
      <c r="K460" s="1">
        <f>'[1]Electricity and CHPs_IN'!G$97</f>
        <v>4.452259351960441</v>
      </c>
    </row>
    <row r="461" spans="1:11" x14ac:dyDescent="0.35">
      <c r="A461" s="5"/>
      <c r="B461" s="5" t="str">
        <f t="shared" si="256"/>
        <v>SPS2</v>
      </c>
      <c r="C461" s="5" t="s">
        <v>7</v>
      </c>
      <c r="D461" t="s">
        <v>891</v>
      </c>
      <c r="E461" t="str">
        <f>E397</f>
        <v>PJ/yr.</v>
      </c>
      <c r="F461" s="1">
        <f>SUM(F462,F468,F501,F510,F516)</f>
        <v>8.0407398198029671</v>
      </c>
      <c r="G461" s="1">
        <f t="shared" ref="G461:K461" si="275">SUM(G462,G468,G501,G510,G516)</f>
        <v>8.7539259431807714</v>
      </c>
      <c r="H461" s="1">
        <f t="shared" si="275"/>
        <v>10.190437733435068</v>
      </c>
      <c r="I461" s="1">
        <f t="shared" si="275"/>
        <v>10.849363567137546</v>
      </c>
      <c r="J461" s="1">
        <f t="shared" si="275"/>
        <v>13.354862640232646</v>
      </c>
      <c r="K461" s="1">
        <f t="shared" si="275"/>
        <v>23.401439546521253</v>
      </c>
    </row>
    <row r="462" spans="1:11" x14ac:dyDescent="0.35">
      <c r="A462" s="5"/>
      <c r="B462" s="5" t="str">
        <f t="shared" si="256"/>
        <v>SPS2</v>
      </c>
      <c r="C462" s="5" t="s">
        <v>7</v>
      </c>
      <c r="D462" t="s">
        <v>892</v>
      </c>
      <c r="E462" t="str">
        <f>E397</f>
        <v>PJ/yr.</v>
      </c>
      <c r="F462" s="1">
        <f>+F463</f>
        <v>0.29042776052376318</v>
      </c>
      <c r="G462" s="1">
        <f t="shared" ref="G462:K462" si="276">+G463</f>
        <v>0.63545619941046694</v>
      </c>
      <c r="H462" s="1">
        <f t="shared" si="276"/>
        <v>4.0327526287947751E-2</v>
      </c>
      <c r="I462" s="1">
        <f t="shared" si="276"/>
        <v>0.57189393861439053</v>
      </c>
      <c r="J462" s="1">
        <f t="shared" si="276"/>
        <v>0</v>
      </c>
      <c r="K462" s="1">
        <f t="shared" si="276"/>
        <v>0</v>
      </c>
    </row>
    <row r="463" spans="1:11" x14ac:dyDescent="0.35">
      <c r="A463" s="5"/>
      <c r="B463" s="5" t="str">
        <f t="shared" si="256"/>
        <v>SPS2</v>
      </c>
      <c r="C463" s="5" t="s">
        <v>7</v>
      </c>
      <c r="D463" t="s">
        <v>206</v>
      </c>
      <c r="E463" t="str">
        <f>E398</f>
        <v>PJ/yr.</v>
      </c>
      <c r="F463" s="1">
        <f>'[1]Electricity and CHPs_IN'!B$41-F299</f>
        <v>0.29042776052376318</v>
      </c>
      <c r="G463" s="1">
        <f>'[1]Electricity and CHPs_IN'!C$41-G299</f>
        <v>0.63545619941046694</v>
      </c>
      <c r="H463" s="1">
        <f>'[1]Electricity and CHPs_IN'!D$41-H299</f>
        <v>4.0327526287947751E-2</v>
      </c>
      <c r="I463" s="1">
        <f>'[1]Electricity and CHPs_IN'!E$41-I299</f>
        <v>0.57189393861439053</v>
      </c>
      <c r="J463" s="1">
        <f>'[1]Electricity and CHPs_IN'!F$41-J299</f>
        <v>0</v>
      </c>
      <c r="K463" s="1">
        <f>'[1]Electricity and CHPs_IN'!G$41-K299</f>
        <v>0</v>
      </c>
    </row>
    <row r="464" spans="1:11" x14ac:dyDescent="0.35">
      <c r="A464" s="5"/>
      <c r="B464" s="5" t="str">
        <f t="shared" si="256"/>
        <v>SPS2</v>
      </c>
      <c r="C464" s="5" t="s">
        <v>7</v>
      </c>
      <c r="D464" t="s">
        <v>894</v>
      </c>
      <c r="E464" t="str">
        <f>E397</f>
        <v>PJ/yr.</v>
      </c>
      <c r="F464" s="1">
        <f>F465</f>
        <v>0.29042776052376318</v>
      </c>
      <c r="G464" s="1">
        <f t="shared" ref="G464:K464" si="277">G465</f>
        <v>0.63545619941046694</v>
      </c>
      <c r="H464" s="1">
        <f t="shared" si="277"/>
        <v>4.0327526287947751E-2</v>
      </c>
      <c r="I464" s="1">
        <f t="shared" si="277"/>
        <v>0.57189393861439053</v>
      </c>
      <c r="J464" s="1">
        <f t="shared" si="277"/>
        <v>0</v>
      </c>
      <c r="K464" s="1">
        <f t="shared" si="277"/>
        <v>0</v>
      </c>
    </row>
    <row r="465" spans="1:11" x14ac:dyDescent="0.35">
      <c r="A465" s="5"/>
      <c r="B465" s="5" t="str">
        <f t="shared" si="256"/>
        <v>SPS2</v>
      </c>
      <c r="C465" s="5" t="s">
        <v>7</v>
      </c>
      <c r="D465" t="s">
        <v>524</v>
      </c>
      <c r="E465" t="str">
        <f>E398</f>
        <v>PJ/yr.</v>
      </c>
      <c r="F465" s="1">
        <f>F463-F467</f>
        <v>0.29042776052376318</v>
      </c>
      <c r="G465" s="1">
        <f t="shared" ref="G465:K465" si="278">G463-G467</f>
        <v>0.63545619941046694</v>
      </c>
      <c r="H465" s="1">
        <f t="shared" si="278"/>
        <v>4.0327526287947751E-2</v>
      </c>
      <c r="I465" s="1">
        <f t="shared" si="278"/>
        <v>0.57189393861439053</v>
      </c>
      <c r="J465" s="1">
        <f t="shared" si="278"/>
        <v>0</v>
      </c>
      <c r="K465" s="1">
        <f t="shared" si="278"/>
        <v>0</v>
      </c>
    </row>
    <row r="466" spans="1:11" x14ac:dyDescent="0.35">
      <c r="A466" s="5"/>
      <c r="B466" s="5" t="str">
        <f t="shared" si="256"/>
        <v>SPS2</v>
      </c>
      <c r="C466" s="5" t="s">
        <v>7</v>
      </c>
      <c r="D466" t="s">
        <v>895</v>
      </c>
      <c r="E466" t="str">
        <f>E398</f>
        <v>PJ/yr.</v>
      </c>
      <c r="F466" s="1">
        <f>F467</f>
        <v>0</v>
      </c>
      <c r="G466" s="1">
        <f t="shared" ref="G466:K466" si="279">G467</f>
        <v>0</v>
      </c>
      <c r="H466" s="1">
        <f t="shared" si="279"/>
        <v>0</v>
      </c>
      <c r="I466" s="1">
        <f t="shared" si="279"/>
        <v>0</v>
      </c>
      <c r="J466" s="1">
        <f t="shared" si="279"/>
        <v>0</v>
      </c>
      <c r="K466" s="1">
        <f t="shared" si="279"/>
        <v>0</v>
      </c>
    </row>
    <row r="467" spans="1:11" x14ac:dyDescent="0.35">
      <c r="A467" s="5"/>
      <c r="B467" s="5" t="str">
        <f t="shared" si="256"/>
        <v>SPS2</v>
      </c>
      <c r="C467" s="5" t="s">
        <v>7</v>
      </c>
      <c r="D467" t="s">
        <v>548</v>
      </c>
      <c r="E467" t="str">
        <f>E399</f>
        <v>PJ/yr.</v>
      </c>
      <c r="F467" s="1">
        <f>IFERROR(F307/F299,0)*F463</f>
        <v>0</v>
      </c>
      <c r="G467" s="1">
        <f t="shared" ref="G467:K467" si="280">IFERROR(G307/G299,0)*G463</f>
        <v>0</v>
      </c>
      <c r="H467" s="1">
        <f t="shared" si="280"/>
        <v>0</v>
      </c>
      <c r="I467" s="1">
        <f t="shared" si="280"/>
        <v>0</v>
      </c>
      <c r="J467" s="1">
        <f t="shared" si="280"/>
        <v>0</v>
      </c>
      <c r="K467" s="1">
        <f t="shared" si="280"/>
        <v>0</v>
      </c>
    </row>
    <row r="468" spans="1:11" x14ac:dyDescent="0.35">
      <c r="A468" s="5"/>
      <c r="B468" s="5" t="str">
        <f t="shared" si="256"/>
        <v>SPS2</v>
      </c>
      <c r="C468" s="5" t="s">
        <v>7</v>
      </c>
      <c r="D468" t="s">
        <v>893</v>
      </c>
      <c r="E468" t="str">
        <f>E399</f>
        <v>PJ/yr.</v>
      </c>
      <c r="F468" s="1">
        <f>SUM(F469:F478)</f>
        <v>3.7409629655482877</v>
      </c>
      <c r="G468" s="1">
        <f t="shared" ref="G468:K468" si="281">SUM(G469:G478)</f>
        <v>2.8957835479050633</v>
      </c>
      <c r="H468" s="1">
        <f t="shared" si="281"/>
        <v>1.9743160475313224</v>
      </c>
      <c r="I468" s="1">
        <f t="shared" si="281"/>
        <v>1.7236953911354465</v>
      </c>
      <c r="J468" s="1">
        <f t="shared" si="281"/>
        <v>2.4336796940757321</v>
      </c>
      <c r="K468" s="1">
        <f t="shared" si="281"/>
        <v>2.83185002856069</v>
      </c>
    </row>
    <row r="469" spans="1:11" x14ac:dyDescent="0.35">
      <c r="A469" s="5"/>
      <c r="B469" s="5" t="str">
        <f t="shared" si="256"/>
        <v>SPS2</v>
      </c>
      <c r="C469" s="5" t="s">
        <v>7</v>
      </c>
      <c r="D469" t="s">
        <v>207</v>
      </c>
      <c r="E469" t="str">
        <f>E400</f>
        <v>PJ/yr.</v>
      </c>
      <c r="F469" s="1">
        <f>'[1]Electricity and CHPs_IN'!B$39-F314</f>
        <v>1.0442361252416594</v>
      </c>
      <c r="G469" s="1">
        <f>'[1]Electricity and CHPs_IN'!C$39-G314</f>
        <v>0.12245500498053344</v>
      </c>
      <c r="H469" s="1">
        <f>'[1]Electricity and CHPs_IN'!D$39-H314</f>
        <v>8.5185201082737083E-2</v>
      </c>
      <c r="I469" s="1">
        <f>'[1]Electricity and CHPs_IN'!E$39-I314</f>
        <v>3.6146261222947271E-2</v>
      </c>
      <c r="J469" s="1">
        <f>'[1]Electricity and CHPs_IN'!F$39-J314</f>
        <v>0.9796835968392571</v>
      </c>
      <c r="K469" s="1">
        <f>'[1]Electricity and CHPs_IN'!G$39-K314</f>
        <v>1.0453707877575331</v>
      </c>
    </row>
    <row r="470" spans="1:11" x14ac:dyDescent="0.35">
      <c r="A470" s="5"/>
      <c r="B470" s="5" t="str">
        <f t="shared" si="256"/>
        <v>SPS2</v>
      </c>
      <c r="C470" s="5" t="s">
        <v>7</v>
      </c>
      <c r="D470" t="s">
        <v>208</v>
      </c>
      <c r="E470" t="str">
        <f>E401</f>
        <v>PJ/yr.</v>
      </c>
      <c r="F470" s="6">
        <f>'[1]Electricity and CHPs_IN'!B$40-F315</f>
        <v>0</v>
      </c>
      <c r="G470" s="6">
        <f>'[1]Electricity and CHPs_IN'!C$40-G315</f>
        <v>0</v>
      </c>
      <c r="H470" s="6">
        <f>'[1]Electricity and CHPs_IN'!D$40-H315</f>
        <v>0</v>
      </c>
      <c r="I470" s="6">
        <f>'[1]Electricity and CHPs_IN'!E$40-I315</f>
        <v>0</v>
      </c>
      <c r="J470" s="6">
        <f>'[1]Electricity and CHPs_IN'!F$40-J315</f>
        <v>4.7775136609697006E-3</v>
      </c>
      <c r="K470" s="6">
        <f>'[1]Electricity and CHPs_IN'!G$40-K315</f>
        <v>0.40834011501058159</v>
      </c>
    </row>
    <row r="471" spans="1:11" x14ac:dyDescent="0.35">
      <c r="A471" s="5"/>
      <c r="B471" s="5" t="str">
        <f t="shared" si="256"/>
        <v>SPS2</v>
      </c>
      <c r="C471" s="5" t="s">
        <v>7</v>
      </c>
      <c r="D471" t="s">
        <v>209</v>
      </c>
      <c r="E471" t="str">
        <f>E402</f>
        <v>PJ/yr.</v>
      </c>
      <c r="F471" s="6">
        <f>'[1]Electricity and CHPs_IN'!$B$47-F316</f>
        <v>0</v>
      </c>
      <c r="G471" s="6">
        <f>'[1]Electricity and CHPs_IN'!$B$47-G316</f>
        <v>0</v>
      </c>
      <c r="H471" s="6">
        <f>'[1]Electricity and CHPs_IN'!$B$47-H316</f>
        <v>0</v>
      </c>
      <c r="I471" s="6">
        <f>'[1]Electricity and CHPs_IN'!$B$47-I316</f>
        <v>0</v>
      </c>
      <c r="J471" s="6">
        <f>'[1]Electricity and CHPs_IN'!$B$47-J316</f>
        <v>0</v>
      </c>
      <c r="K471" s="6">
        <f>'[1]Electricity and CHPs_IN'!$B$47-K316</f>
        <v>0</v>
      </c>
    </row>
    <row r="472" spans="1:11" x14ac:dyDescent="0.35">
      <c r="A472" s="5"/>
      <c r="B472" s="5" t="str">
        <f t="shared" si="256"/>
        <v>SPS2</v>
      </c>
      <c r="C472" s="5" t="s">
        <v>7</v>
      </c>
      <c r="D472" t="s">
        <v>210</v>
      </c>
      <c r="E472" t="str">
        <f>E427</f>
        <v>PJ/yr.</v>
      </c>
      <c r="F472" s="1">
        <f>'[1]Electricity and CHPs_IN'!B$48-F317</f>
        <v>8.8507449178597736E-2</v>
      </c>
      <c r="G472" s="1">
        <f>'[1]Electricity and CHPs_IN'!C$48-G317</f>
        <v>1.4369851616373139E-2</v>
      </c>
      <c r="H472" s="1">
        <f>'[1]Electricity and CHPs_IN'!D$48-H317</f>
        <v>4.9090657406580016E-2</v>
      </c>
      <c r="I472" s="1">
        <f>'[1]Electricity and CHPs_IN'!E$48-I317</f>
        <v>1.2697687697978662E-2</v>
      </c>
      <c r="J472" s="1">
        <f>'[1]Electricity and CHPs_IN'!F$48-J317</f>
        <v>1.1126073060263813E-2</v>
      </c>
      <c r="K472" s="1">
        <f>'[1]Electricity and CHPs_IN'!G$48-K317</f>
        <v>0</v>
      </c>
    </row>
    <row r="473" spans="1:11" x14ac:dyDescent="0.35">
      <c r="A473" s="5"/>
      <c r="B473" s="5" t="str">
        <f t="shared" si="256"/>
        <v>SPS2</v>
      </c>
      <c r="C473" s="5" t="s">
        <v>7</v>
      </c>
      <c r="D473" t="s">
        <v>211</v>
      </c>
      <c r="E473" t="str">
        <f>E429</f>
        <v>PJ/yr.</v>
      </c>
      <c r="F473" s="6">
        <f>'[1]Electricity and CHPs_IN'!B$49-F318</f>
        <v>0</v>
      </c>
      <c r="G473" s="6">
        <f>'[1]Electricity and CHPs_IN'!C$49-G318</f>
        <v>0</v>
      </c>
      <c r="H473" s="6">
        <f>'[1]Electricity and CHPs_IN'!D$49-H318</f>
        <v>0</v>
      </c>
      <c r="I473" s="6">
        <f>'[1]Electricity and CHPs_IN'!E$49-I318</f>
        <v>0</v>
      </c>
      <c r="J473" s="6">
        <f>'[1]Electricity and CHPs_IN'!F$49-J318</f>
        <v>0</v>
      </c>
      <c r="K473" s="6">
        <f>'[1]Electricity and CHPs_IN'!G$49-K318</f>
        <v>0</v>
      </c>
    </row>
    <row r="474" spans="1:11" x14ac:dyDescent="0.35">
      <c r="A474" s="5"/>
      <c r="B474" s="5" t="str">
        <f t="shared" si="256"/>
        <v>SPS2</v>
      </c>
      <c r="C474" s="5" t="s">
        <v>7</v>
      </c>
      <c r="D474" t="s">
        <v>212</v>
      </c>
      <c r="E474" t="str">
        <f>E430</f>
        <v>PJ/yr.</v>
      </c>
      <c r="F474" s="1">
        <f>'[1]Electricity and CHPs_IN'!B$51-F319</f>
        <v>0.11120976428901151</v>
      </c>
      <c r="G474" s="1">
        <f>'[1]Electricity and CHPs_IN'!C$51-G319</f>
        <v>1.8861239519004064E-2</v>
      </c>
      <c r="H474" s="1">
        <f>'[1]Electricity and CHPs_IN'!D$51-H319</f>
        <v>7.2885821265920858E-2</v>
      </c>
      <c r="I474" s="1">
        <f>'[1]Electricity and CHPs_IN'!E$51-I319</f>
        <v>1.8857149899932021E-2</v>
      </c>
      <c r="J474" s="1">
        <f>'[1]Electricity and CHPs_IN'!F$51-J319</f>
        <v>2.9422511101828724E-2</v>
      </c>
      <c r="K474" s="1">
        <f>'[1]Electricity and CHPs_IN'!G$51-K319</f>
        <v>0</v>
      </c>
    </row>
    <row r="475" spans="1:11" x14ac:dyDescent="0.35">
      <c r="A475" s="5"/>
      <c r="B475" s="5" t="str">
        <f t="shared" si="256"/>
        <v>SPS2</v>
      </c>
      <c r="C475" s="5" t="s">
        <v>7</v>
      </c>
      <c r="D475" t="s">
        <v>213</v>
      </c>
      <c r="E475" t="str">
        <f>E432</f>
        <v>PJ/yr.</v>
      </c>
      <c r="F475" s="1">
        <f>'[1]Electricity and CHPs_IN'!B$52-F320</f>
        <v>0</v>
      </c>
      <c r="G475" s="1">
        <f>'[1]Electricity and CHPs_IN'!C$52-G320</f>
        <v>0</v>
      </c>
      <c r="H475" s="1">
        <f>'[1]Electricity and CHPs_IN'!D$52-H320</f>
        <v>0</v>
      </c>
      <c r="I475" s="1">
        <f>'[1]Electricity and CHPs_IN'!E$52-I320</f>
        <v>0</v>
      </c>
      <c r="J475" s="1">
        <f>'[1]Electricity and CHPs_IN'!F$52-J320</f>
        <v>0</v>
      </c>
      <c r="K475" s="1">
        <f>'[1]Electricity and CHPs_IN'!G$52-K320</f>
        <v>0</v>
      </c>
    </row>
    <row r="476" spans="1:11" x14ac:dyDescent="0.35">
      <c r="A476" s="5"/>
      <c r="B476" s="5" t="str">
        <f t="shared" si="256"/>
        <v>SPS2</v>
      </c>
      <c r="C476" s="5" t="s">
        <v>7</v>
      </c>
      <c r="D476" t="s">
        <v>214</v>
      </c>
      <c r="E476" t="str">
        <f>E456</f>
        <v>PJ/yr.</v>
      </c>
      <c r="F476" s="1">
        <f>'[1]Electricity and CHPs_IN'!B$54-F321</f>
        <v>1.5807126161745138</v>
      </c>
      <c r="G476" s="1">
        <f>'[1]Electricity and CHPs_IN'!C$54-G321</f>
        <v>1.7916846050982986</v>
      </c>
      <c r="H476" s="1">
        <f>'[1]Electricity and CHPs_IN'!D$54-H321</f>
        <v>1.7459147235254382</v>
      </c>
      <c r="I476" s="1">
        <f>'[1]Electricity and CHPs_IN'!E$54-I321</f>
        <v>1.6524857947099278</v>
      </c>
      <c r="J476" s="1">
        <f>'[1]Electricity and CHPs_IN'!F$54-J321</f>
        <v>1.405367459135634</v>
      </c>
      <c r="K476" s="1">
        <f>'[1]Electricity and CHPs_IN'!G$54-K321</f>
        <v>1.378139125792575</v>
      </c>
    </row>
    <row r="477" spans="1:11" x14ac:dyDescent="0.35">
      <c r="A477" s="5"/>
      <c r="B477" s="5" t="str">
        <f t="shared" si="256"/>
        <v>SPS2</v>
      </c>
      <c r="C477" s="5" t="s">
        <v>7</v>
      </c>
      <c r="D477" t="s">
        <v>215</v>
      </c>
      <c r="E477" t="str">
        <f>E458</f>
        <v>PJ/yr.</v>
      </c>
      <c r="F477" s="1">
        <f>'[1]Electricity and CHPs_IN'!B$55-F322</f>
        <v>0.91629701066450531</v>
      </c>
      <c r="G477" s="1">
        <f>'[1]Electricity and CHPs_IN'!C$55-G322</f>
        <v>0.94841284669085424</v>
      </c>
      <c r="H477" s="1">
        <f>'[1]Electricity and CHPs_IN'!D$55-H322</f>
        <v>2.1239644250646082E-2</v>
      </c>
      <c r="I477" s="1">
        <f>'[1]Electricity and CHPs_IN'!E$55-I322</f>
        <v>3.5084976046605675E-3</v>
      </c>
      <c r="J477" s="1">
        <f>'[1]Electricity and CHPs_IN'!F$55-J322</f>
        <v>3.3025402777789314E-3</v>
      </c>
      <c r="K477" s="1">
        <f>'[1]Electricity and CHPs_IN'!G$55-K322</f>
        <v>0</v>
      </c>
    </row>
    <row r="478" spans="1:11" x14ac:dyDescent="0.35">
      <c r="A478" s="5"/>
      <c r="B478" s="5" t="str">
        <f t="shared" si="256"/>
        <v>SPS2</v>
      </c>
      <c r="C478" s="5" t="s">
        <v>7</v>
      </c>
      <c r="D478" t="s">
        <v>216</v>
      </c>
      <c r="E478" t="str">
        <f>E460</f>
        <v>PJ/yr.</v>
      </c>
      <c r="F478" s="1">
        <f>'[1]Electricity and CHPs_IN'!B$58-F323</f>
        <v>0</v>
      </c>
      <c r="G478" s="1">
        <f>'[1]Electricity and CHPs_IN'!C$58-G323</f>
        <v>0</v>
      </c>
      <c r="H478" s="1">
        <f>'[1]Electricity and CHPs_IN'!D$58-H323</f>
        <v>0</v>
      </c>
      <c r="I478" s="1">
        <f>'[1]Electricity and CHPs_IN'!E$58-I323</f>
        <v>0</v>
      </c>
      <c r="J478" s="1">
        <f>'[1]Electricity and CHPs_IN'!F$58-J323</f>
        <v>0</v>
      </c>
      <c r="K478" s="1">
        <f>'[1]Electricity and CHPs_IN'!G$58-K323</f>
        <v>0</v>
      </c>
    </row>
    <row r="479" spans="1:11" x14ac:dyDescent="0.35">
      <c r="A479" s="5"/>
      <c r="B479" s="5" t="str">
        <f t="shared" si="256"/>
        <v>SPS2</v>
      </c>
      <c r="C479" s="5" t="s">
        <v>7</v>
      </c>
      <c r="D479" t="s">
        <v>896</v>
      </c>
      <c r="E479" t="str">
        <f>E400</f>
        <v>PJ/yr.</v>
      </c>
      <c r="F479" s="1">
        <f>SUM(F480:F489)</f>
        <v>2.104757878360509</v>
      </c>
      <c r="G479" s="1">
        <f t="shared" ref="G479:K479" si="282">SUM(G480:G489)</f>
        <v>1.0820415202972373</v>
      </c>
      <c r="H479" s="1">
        <f t="shared" si="282"/>
        <v>0.22412764831249643</v>
      </c>
      <c r="I479" s="1">
        <f t="shared" si="282"/>
        <v>6.5454975491334957E-2</v>
      </c>
      <c r="J479" s="1">
        <f t="shared" si="282"/>
        <v>0.61275788472263393</v>
      </c>
      <c r="K479" s="1">
        <f t="shared" si="282"/>
        <v>0.55702718051703537</v>
      </c>
    </row>
    <row r="480" spans="1:11" x14ac:dyDescent="0.35">
      <c r="A480" s="5"/>
      <c r="B480" s="5" t="str">
        <f t="shared" si="256"/>
        <v>SPS2</v>
      </c>
      <c r="C480" s="5" t="s">
        <v>7</v>
      </c>
      <c r="D480" t="s">
        <v>597</v>
      </c>
      <c r="E480" t="str">
        <f>E400</f>
        <v>PJ/yr.</v>
      </c>
      <c r="F480" s="1">
        <f t="shared" ref="F480:F486" si="283">F469-F491</f>
        <v>1.0174118069732814</v>
      </c>
      <c r="G480" s="1">
        <f t="shared" ref="G480:K480" si="284">G469-G491</f>
        <v>0.1200086284117854</v>
      </c>
      <c r="H480" s="1">
        <f t="shared" si="284"/>
        <v>8.3591278959526227E-2</v>
      </c>
      <c r="I480" s="1">
        <f t="shared" si="284"/>
        <v>3.3225193811146872E-2</v>
      </c>
      <c r="J480" s="1">
        <f t="shared" si="284"/>
        <v>0.58378071182986002</v>
      </c>
      <c r="K480" s="1">
        <f t="shared" si="284"/>
        <v>0.40056103410289623</v>
      </c>
    </row>
    <row r="481" spans="1:18" x14ac:dyDescent="0.35">
      <c r="A481" s="5"/>
      <c r="B481" s="5" t="str">
        <f t="shared" si="256"/>
        <v>SPS2</v>
      </c>
      <c r="C481" s="5" t="s">
        <v>7</v>
      </c>
      <c r="D481" t="s">
        <v>598</v>
      </c>
      <c r="E481" t="str">
        <f>E401</f>
        <v>PJ/yr.</v>
      </c>
      <c r="F481" s="1">
        <f t="shared" si="283"/>
        <v>0</v>
      </c>
      <c r="G481" s="1">
        <f t="shared" ref="G481:K481" si="285">G470-G492</f>
        <v>0</v>
      </c>
      <c r="H481" s="1">
        <f t="shared" si="285"/>
        <v>0</v>
      </c>
      <c r="I481" s="1">
        <f t="shared" si="285"/>
        <v>0</v>
      </c>
      <c r="J481" s="1">
        <f t="shared" si="285"/>
        <v>2.8468582456376307E-3</v>
      </c>
      <c r="K481" s="1">
        <f t="shared" si="285"/>
        <v>0.15646614641413914</v>
      </c>
    </row>
    <row r="482" spans="1:18" x14ac:dyDescent="0.35">
      <c r="A482" s="5"/>
      <c r="B482" s="5" t="str">
        <f t="shared" si="256"/>
        <v>SPS2</v>
      </c>
      <c r="C482" s="5" t="s">
        <v>7</v>
      </c>
      <c r="D482" t="s">
        <v>599</v>
      </c>
      <c r="E482" t="str">
        <f>E402</f>
        <v>PJ/yr.</v>
      </c>
      <c r="F482" s="1">
        <f t="shared" si="283"/>
        <v>0</v>
      </c>
      <c r="G482" s="1">
        <f t="shared" ref="G482:K482" si="286">G471-G493</f>
        <v>0</v>
      </c>
      <c r="H482" s="1">
        <f t="shared" si="286"/>
        <v>0</v>
      </c>
      <c r="I482" s="1">
        <f t="shared" si="286"/>
        <v>0</v>
      </c>
      <c r="J482" s="1">
        <f t="shared" si="286"/>
        <v>0</v>
      </c>
      <c r="K482" s="1">
        <f t="shared" si="286"/>
        <v>0</v>
      </c>
    </row>
    <row r="483" spans="1:18" x14ac:dyDescent="0.35">
      <c r="A483" s="5"/>
      <c r="B483" s="5" t="str">
        <f t="shared" si="256"/>
        <v>SPS2</v>
      </c>
      <c r="C483" s="5" t="s">
        <v>7</v>
      </c>
      <c r="D483" t="s">
        <v>600</v>
      </c>
      <c r="E483" t="str">
        <f>E427</f>
        <v>PJ/yr.</v>
      </c>
      <c r="F483" s="1">
        <f t="shared" si="283"/>
        <v>8.6233871461355319E-2</v>
      </c>
      <c r="G483" s="1">
        <f t="shared" ref="G483:K483" si="287">G472-G494</f>
        <v>1.4082774184982976E-2</v>
      </c>
      <c r="H483" s="1">
        <f t="shared" si="287"/>
        <v>4.8172109538068032E-2</v>
      </c>
      <c r="I483" s="1">
        <f t="shared" si="287"/>
        <v>1.1671556627021941E-2</v>
      </c>
      <c r="J483" s="1">
        <f t="shared" si="287"/>
        <v>6.6298822108966501E-3</v>
      </c>
      <c r="K483" s="1">
        <f t="shared" si="287"/>
        <v>0</v>
      </c>
    </row>
    <row r="484" spans="1:18" x14ac:dyDescent="0.35">
      <c r="A484" s="5"/>
      <c r="B484" s="5" t="str">
        <f t="shared" si="256"/>
        <v>SPS2</v>
      </c>
      <c r="C484" s="5" t="s">
        <v>7</v>
      </c>
      <c r="D484" t="s">
        <v>601</v>
      </c>
      <c r="E484" t="str">
        <f>E429</f>
        <v>PJ/yr.</v>
      </c>
      <c r="F484" s="1">
        <f t="shared" si="283"/>
        <v>0</v>
      </c>
      <c r="G484" s="1">
        <f t="shared" ref="G484:K484" si="288">G473-G495</f>
        <v>0</v>
      </c>
      <c r="H484" s="1">
        <f t="shared" si="288"/>
        <v>0</v>
      </c>
      <c r="I484" s="1">
        <f t="shared" si="288"/>
        <v>0</v>
      </c>
      <c r="J484" s="1">
        <f t="shared" si="288"/>
        <v>0</v>
      </c>
      <c r="K484" s="1">
        <f t="shared" si="288"/>
        <v>0</v>
      </c>
    </row>
    <row r="485" spans="1:18" x14ac:dyDescent="0.35">
      <c r="A485" s="5"/>
      <c r="B485" s="5" t="str">
        <f t="shared" si="256"/>
        <v>SPS2</v>
      </c>
      <c r="C485" s="5" t="s">
        <v>7</v>
      </c>
      <c r="D485" t="s">
        <v>602</v>
      </c>
      <c r="E485" t="str">
        <f>E431</f>
        <v>PJ/yr.</v>
      </c>
      <c r="F485" s="1">
        <f t="shared" si="283"/>
        <v>0.10835300992117215</v>
      </c>
      <c r="G485" s="1">
        <f t="shared" ref="G485:K485" si="289">G474-G496</f>
        <v>1.8484434222853278E-2</v>
      </c>
      <c r="H485" s="1">
        <f t="shared" si="289"/>
        <v>7.1522035989751737E-2</v>
      </c>
      <c r="I485" s="1">
        <f t="shared" si="289"/>
        <v>1.7333257685675646E-2</v>
      </c>
      <c r="J485" s="1">
        <f t="shared" si="289"/>
        <v>1.7532491643489006E-2</v>
      </c>
      <c r="K485" s="1">
        <f t="shared" si="289"/>
        <v>0</v>
      </c>
    </row>
    <row r="486" spans="1:18" x14ac:dyDescent="0.35">
      <c r="A486" s="5"/>
      <c r="B486" s="5" t="str">
        <f t="shared" si="256"/>
        <v>SPS2</v>
      </c>
      <c r="C486" s="5" t="s">
        <v>7</v>
      </c>
      <c r="D486" t="s">
        <v>603</v>
      </c>
      <c r="E486" t="str">
        <f>E432</f>
        <v>PJ/yr.</v>
      </c>
      <c r="F486" s="1">
        <f t="shared" si="283"/>
        <v>0</v>
      </c>
      <c r="G486" s="1">
        <f t="shared" ref="G486:K486" si="290">G475-G497</f>
        <v>0</v>
      </c>
      <c r="H486" s="1">
        <f t="shared" si="290"/>
        <v>0</v>
      </c>
      <c r="I486" s="1">
        <f t="shared" si="290"/>
        <v>0</v>
      </c>
      <c r="J486" s="1">
        <f t="shared" si="290"/>
        <v>0</v>
      </c>
      <c r="K486" s="1">
        <f t="shared" si="290"/>
        <v>0</v>
      </c>
    </row>
    <row r="487" spans="1:18" x14ac:dyDescent="0.35">
      <c r="A487" s="5"/>
      <c r="B487" s="5" t="str">
        <f t="shared" si="256"/>
        <v>SPS2</v>
      </c>
      <c r="C487" s="5" t="s">
        <v>7</v>
      </c>
      <c r="D487" t="s">
        <v>604</v>
      </c>
      <c r="E487" t="str">
        <f>E469</f>
        <v>PJ/yr.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8" x14ac:dyDescent="0.35">
      <c r="A488" s="5"/>
      <c r="B488" s="5" t="str">
        <f t="shared" si="256"/>
        <v>SPS2</v>
      </c>
      <c r="C488" s="5" t="s">
        <v>7</v>
      </c>
      <c r="D488" t="s">
        <v>605</v>
      </c>
      <c r="E488" t="str">
        <f>E471</f>
        <v>PJ/yr.</v>
      </c>
      <c r="F488" s="1">
        <f>F477-F499</f>
        <v>0.89275919000469994</v>
      </c>
      <c r="G488" s="1">
        <f t="shared" ref="G488:K488" si="291">G477-G499</f>
        <v>0.9294656834776156</v>
      </c>
      <c r="H488" s="1">
        <f t="shared" si="291"/>
        <v>2.0842223825150444E-2</v>
      </c>
      <c r="I488" s="1">
        <f t="shared" si="291"/>
        <v>3.2249673674904925E-3</v>
      </c>
      <c r="J488" s="1">
        <f t="shared" si="291"/>
        <v>1.9679407927505601E-3</v>
      </c>
      <c r="K488" s="1">
        <f t="shared" si="291"/>
        <v>0</v>
      </c>
    </row>
    <row r="489" spans="1:18" x14ac:dyDescent="0.35">
      <c r="A489" s="5"/>
      <c r="B489" s="5" t="str">
        <f t="shared" si="256"/>
        <v>SPS2</v>
      </c>
      <c r="C489" s="5" t="s">
        <v>7</v>
      </c>
      <c r="D489" t="s">
        <v>606</v>
      </c>
      <c r="E489" t="str">
        <f>E473</f>
        <v>PJ/yr.</v>
      </c>
      <c r="F489" s="1">
        <f>F478-F500</f>
        <v>0</v>
      </c>
      <c r="G489" s="1">
        <f t="shared" ref="G489:K489" si="292">G478-G500</f>
        <v>0</v>
      </c>
      <c r="H489" s="1">
        <f t="shared" si="292"/>
        <v>0</v>
      </c>
      <c r="I489" s="1">
        <f t="shared" si="292"/>
        <v>0</v>
      </c>
      <c r="J489" s="1">
        <f t="shared" si="292"/>
        <v>0</v>
      </c>
      <c r="K489" s="1">
        <f t="shared" si="292"/>
        <v>0</v>
      </c>
    </row>
    <row r="490" spans="1:18" x14ac:dyDescent="0.35">
      <c r="A490" s="5"/>
      <c r="B490" s="5" t="str">
        <f t="shared" si="256"/>
        <v>SPS2</v>
      </c>
      <c r="C490" s="5" t="s">
        <v>7</v>
      </c>
      <c r="D490" t="s">
        <v>897</v>
      </c>
      <c r="E490" t="str">
        <f>E401</f>
        <v>PJ/yr.</v>
      </c>
      <c r="F490" s="1">
        <f>SUM(F491:F500)</f>
        <v>1.6362050871877789</v>
      </c>
      <c r="G490" s="1">
        <f t="shared" ref="G490:K490" si="293">SUM(G491:G500)</f>
        <v>1.8137420276078262</v>
      </c>
      <c r="H490" s="1">
        <f t="shared" si="293"/>
        <v>1.7501883992188259</v>
      </c>
      <c r="I490" s="1">
        <f t="shared" si="293"/>
        <v>1.6582404156441113</v>
      </c>
      <c r="J490" s="1">
        <f t="shared" si="293"/>
        <v>1.8209218093530983</v>
      </c>
      <c r="K490" s="1">
        <f t="shared" si="293"/>
        <v>2.2748228480436543</v>
      </c>
      <c r="M490" s="8"/>
      <c r="N490" s="8"/>
      <c r="O490" s="8"/>
      <c r="P490" s="8"/>
      <c r="Q490" s="8"/>
      <c r="R490" s="8"/>
    </row>
    <row r="491" spans="1:18" x14ac:dyDescent="0.35">
      <c r="A491" s="5"/>
      <c r="B491" s="5" t="str">
        <f t="shared" si="256"/>
        <v>SPS2</v>
      </c>
      <c r="C491" s="5" t="s">
        <v>7</v>
      </c>
      <c r="D491" t="s">
        <v>658</v>
      </c>
      <c r="E491" t="str">
        <f>E403</f>
        <v>PJ/yr.</v>
      </c>
      <c r="F491" s="1">
        <f t="shared" ref="F491:F497" si="294">IFERROR(F346/F314,0)*F469</f>
        <v>2.6824318268378035E-2</v>
      </c>
      <c r="G491" s="1">
        <f t="shared" ref="G491:K491" si="295">IFERROR(G346/G314,0)*G469</f>
        <v>2.4463765687480371E-3</v>
      </c>
      <c r="H491" s="1">
        <f t="shared" si="295"/>
        <v>1.5939221232108525E-3</v>
      </c>
      <c r="I491" s="1">
        <f t="shared" si="295"/>
        <v>2.9210674118003953E-3</v>
      </c>
      <c r="J491" s="1">
        <f t="shared" si="295"/>
        <v>0.39590288500939708</v>
      </c>
      <c r="K491" s="1">
        <f t="shared" si="295"/>
        <v>0.64480975365463689</v>
      </c>
    </row>
    <row r="492" spans="1:18" x14ac:dyDescent="0.35">
      <c r="A492" s="5"/>
      <c r="B492" s="5" t="str">
        <f t="shared" si="256"/>
        <v>SPS2</v>
      </c>
      <c r="C492" s="5" t="s">
        <v>7</v>
      </c>
      <c r="D492" t="s">
        <v>659</v>
      </c>
      <c r="E492" t="str">
        <f>E404</f>
        <v>PJ/yr.</v>
      </c>
      <c r="F492" s="1">
        <f t="shared" si="294"/>
        <v>0</v>
      </c>
      <c r="G492" s="1">
        <f t="shared" ref="G492:K492" si="296">IFERROR(G347/G315,0)*G470</f>
        <v>0</v>
      </c>
      <c r="H492" s="1">
        <f t="shared" si="296"/>
        <v>0</v>
      </c>
      <c r="I492" s="1">
        <f t="shared" si="296"/>
        <v>0</v>
      </c>
      <c r="J492" s="1">
        <f t="shared" si="296"/>
        <v>1.9306554153320698E-3</v>
      </c>
      <c r="K492" s="1">
        <f t="shared" si="296"/>
        <v>0.25187396859644245</v>
      </c>
    </row>
    <row r="493" spans="1:18" x14ac:dyDescent="0.35">
      <c r="A493" s="5"/>
      <c r="B493" s="5" t="str">
        <f t="shared" si="256"/>
        <v>SPS2</v>
      </c>
      <c r="C493" s="5" t="s">
        <v>7</v>
      </c>
      <c r="D493" t="s">
        <v>660</v>
      </c>
      <c r="E493" t="str">
        <f>E405</f>
        <v>PJ/yr.</v>
      </c>
      <c r="F493" s="1">
        <f t="shared" si="294"/>
        <v>0</v>
      </c>
      <c r="G493" s="1">
        <f t="shared" ref="G493:K493" si="297">IFERROR(G348/G316,0)*G471</f>
        <v>0</v>
      </c>
      <c r="H493" s="1">
        <f t="shared" si="297"/>
        <v>0</v>
      </c>
      <c r="I493" s="1">
        <f t="shared" si="297"/>
        <v>0</v>
      </c>
      <c r="J493" s="1">
        <f t="shared" si="297"/>
        <v>0</v>
      </c>
      <c r="K493" s="1">
        <f t="shared" si="297"/>
        <v>0</v>
      </c>
    </row>
    <row r="494" spans="1:18" x14ac:dyDescent="0.35">
      <c r="A494" s="5"/>
      <c r="B494" s="5" t="str">
        <f t="shared" si="256"/>
        <v>SPS2</v>
      </c>
      <c r="C494" s="5" t="s">
        <v>7</v>
      </c>
      <c r="D494" t="s">
        <v>661</v>
      </c>
      <c r="E494" t="str">
        <f>E433</f>
        <v>PJ/yr.</v>
      </c>
      <c r="F494" s="1">
        <f t="shared" si="294"/>
        <v>2.2735777172424175E-3</v>
      </c>
      <c r="G494" s="1">
        <f t="shared" ref="G494:K494" si="298">IFERROR(G349/G317,0)*G472</f>
        <v>2.8707743139016399E-4</v>
      </c>
      <c r="H494" s="1">
        <f t="shared" si="298"/>
        <v>9.1854786851197992E-4</v>
      </c>
      <c r="I494" s="1">
        <f t="shared" si="298"/>
        <v>1.026131070956721E-3</v>
      </c>
      <c r="J494" s="1">
        <f t="shared" si="298"/>
        <v>4.4961908493671631E-3</v>
      </c>
      <c r="K494" s="1">
        <f t="shared" si="298"/>
        <v>0</v>
      </c>
    </row>
    <row r="495" spans="1:18" x14ac:dyDescent="0.35">
      <c r="A495" s="5"/>
      <c r="B495" s="5" t="str">
        <f t="shared" si="256"/>
        <v>SPS2</v>
      </c>
      <c r="C495" s="5" t="s">
        <v>7</v>
      </c>
      <c r="D495" t="s">
        <v>662</v>
      </c>
      <c r="E495" t="str">
        <f>E435</f>
        <v>PJ/yr.</v>
      </c>
      <c r="F495" s="1">
        <f t="shared" si="294"/>
        <v>0</v>
      </c>
      <c r="G495" s="1">
        <f t="shared" ref="G495:K495" si="299">IFERROR(G350/G318,0)*G473</f>
        <v>0</v>
      </c>
      <c r="H495" s="1">
        <f t="shared" si="299"/>
        <v>0</v>
      </c>
      <c r="I495" s="1">
        <f t="shared" si="299"/>
        <v>0</v>
      </c>
      <c r="J495" s="1">
        <f t="shared" si="299"/>
        <v>0</v>
      </c>
      <c r="K495" s="1">
        <f t="shared" si="299"/>
        <v>0</v>
      </c>
    </row>
    <row r="496" spans="1:18" x14ac:dyDescent="0.35">
      <c r="A496" s="5"/>
      <c r="B496" s="5" t="str">
        <f t="shared" si="256"/>
        <v>SPS2</v>
      </c>
      <c r="C496" s="5" t="s">
        <v>7</v>
      </c>
      <c r="D496" t="s">
        <v>663</v>
      </c>
      <c r="E496" t="str">
        <f>E437</f>
        <v>PJ/yr.</v>
      </c>
      <c r="F496" s="1">
        <f t="shared" si="294"/>
        <v>2.8567543678393562E-3</v>
      </c>
      <c r="G496" s="1">
        <f t="shared" ref="G496:K496" si="300">IFERROR(G351/G319,0)*G474</f>
        <v>3.7680529615078534E-4</v>
      </c>
      <c r="H496" s="1">
        <f t="shared" si="300"/>
        <v>1.3637852761691231E-3</v>
      </c>
      <c r="I496" s="1">
        <f t="shared" si="300"/>
        <v>1.5238922142563761E-3</v>
      </c>
      <c r="J496" s="1">
        <f t="shared" si="300"/>
        <v>1.1890019458339719E-2</v>
      </c>
      <c r="K496" s="1">
        <f t="shared" si="300"/>
        <v>0</v>
      </c>
    </row>
    <row r="497" spans="1:11" x14ac:dyDescent="0.35">
      <c r="A497" s="5"/>
      <c r="B497" s="5" t="str">
        <f t="shared" si="256"/>
        <v>SPS2</v>
      </c>
      <c r="C497" s="5" t="s">
        <v>7</v>
      </c>
      <c r="D497" t="s">
        <v>664</v>
      </c>
      <c r="E497" t="str">
        <f>E438</f>
        <v>PJ/yr.</v>
      </c>
      <c r="F497" s="1">
        <f t="shared" si="294"/>
        <v>0</v>
      </c>
      <c r="G497" s="1">
        <f t="shared" ref="G497:K497" si="301">IFERROR(G352/G320,0)*G475</f>
        <v>0</v>
      </c>
      <c r="H497" s="1">
        <f t="shared" si="301"/>
        <v>0</v>
      </c>
      <c r="I497" s="1">
        <f t="shared" si="301"/>
        <v>0</v>
      </c>
      <c r="J497" s="1">
        <f t="shared" si="301"/>
        <v>0</v>
      </c>
      <c r="K497" s="1">
        <f t="shared" si="301"/>
        <v>0</v>
      </c>
    </row>
    <row r="498" spans="1:11" x14ac:dyDescent="0.35">
      <c r="A498" s="5"/>
      <c r="B498" s="5" t="str">
        <f t="shared" si="256"/>
        <v>SPS2</v>
      </c>
      <c r="C498" s="5" t="s">
        <v>7</v>
      </c>
      <c r="D498" t="s">
        <v>665</v>
      </c>
      <c r="E498" t="str">
        <f>E461</f>
        <v>PJ/yr.</v>
      </c>
      <c r="F498" s="1">
        <f>F476</f>
        <v>1.5807126161745138</v>
      </c>
      <c r="G498" s="1">
        <f t="shared" ref="G498:K498" si="302">G476</f>
        <v>1.7916846050982986</v>
      </c>
      <c r="H498" s="1">
        <f t="shared" si="302"/>
        <v>1.7459147235254382</v>
      </c>
      <c r="I498" s="1">
        <f t="shared" si="302"/>
        <v>1.6524857947099278</v>
      </c>
      <c r="J498" s="1">
        <f t="shared" si="302"/>
        <v>1.405367459135634</v>
      </c>
      <c r="K498" s="1">
        <f t="shared" si="302"/>
        <v>1.378139125792575</v>
      </c>
    </row>
    <row r="499" spans="1:11" x14ac:dyDescent="0.35">
      <c r="A499" s="5"/>
      <c r="B499" s="5" t="str">
        <f t="shared" si="256"/>
        <v>SPS2</v>
      </c>
      <c r="C499" s="5" t="s">
        <v>7</v>
      </c>
      <c r="D499" t="s">
        <v>666</v>
      </c>
      <c r="E499" t="str">
        <f>E463</f>
        <v>PJ/yr.</v>
      </c>
      <c r="F499" s="1">
        <f>IFERROR(F354/F322,0)*F477</f>
        <v>2.3537820659805322E-2</v>
      </c>
      <c r="G499" s="1">
        <f t="shared" ref="G499:K499" si="303">IFERROR(G354/G322,0)*G477</f>
        <v>1.8947163213238603E-2</v>
      </c>
      <c r="H499" s="1">
        <f t="shared" si="303"/>
        <v>3.9742042549563889E-4</v>
      </c>
      <c r="I499" s="1">
        <f t="shared" si="303"/>
        <v>2.8353023717007486E-4</v>
      </c>
      <c r="J499" s="1">
        <f t="shared" si="303"/>
        <v>1.3345994850283713E-3</v>
      </c>
      <c r="K499" s="1">
        <f t="shared" si="303"/>
        <v>0</v>
      </c>
    </row>
    <row r="500" spans="1:11" x14ac:dyDescent="0.35">
      <c r="A500" s="5"/>
      <c r="B500" s="5" t="str">
        <f t="shared" ref="B500:B563" si="304">B499</f>
        <v>SPS2</v>
      </c>
      <c r="C500" s="5" t="s">
        <v>7</v>
      </c>
      <c r="D500" t="s">
        <v>667</v>
      </c>
      <c r="E500" t="str">
        <f>E467</f>
        <v>PJ/yr.</v>
      </c>
      <c r="F500" s="1">
        <f>IFERROR(F355/F323,0)*F478</f>
        <v>0</v>
      </c>
      <c r="G500" s="1">
        <f t="shared" ref="G500:K500" si="305">IFERROR(G355/G323,0)*G478</f>
        <v>0</v>
      </c>
      <c r="H500" s="1">
        <f t="shared" si="305"/>
        <v>0</v>
      </c>
      <c r="I500" s="1">
        <f t="shared" si="305"/>
        <v>0</v>
      </c>
      <c r="J500" s="1">
        <f t="shared" si="305"/>
        <v>0</v>
      </c>
      <c r="K500" s="1">
        <f t="shared" si="305"/>
        <v>0</v>
      </c>
    </row>
    <row r="501" spans="1:11" x14ac:dyDescent="0.35">
      <c r="A501" s="5"/>
      <c r="B501" s="5" t="str">
        <f t="shared" si="304"/>
        <v>SPS2</v>
      </c>
      <c r="C501" s="5" t="s">
        <v>7</v>
      </c>
      <c r="D501" t="s">
        <v>898</v>
      </c>
      <c r="E501" t="str">
        <f>E405</f>
        <v>PJ/yr.</v>
      </c>
      <c r="F501" s="1">
        <f>SUM(F502:F503)</f>
        <v>3.317566884544338</v>
      </c>
      <c r="G501" s="1">
        <f t="shared" ref="G501:K501" si="306">SUM(G502:G503)</f>
        <v>3.4602069965292523</v>
      </c>
      <c r="H501" s="1">
        <f t="shared" si="306"/>
        <v>4.7995479490472013</v>
      </c>
      <c r="I501" s="1">
        <f t="shared" si="306"/>
        <v>5.012360521505542</v>
      </c>
      <c r="J501" s="1">
        <f t="shared" si="306"/>
        <v>4.8891405585759831</v>
      </c>
      <c r="K501" s="1">
        <f t="shared" si="306"/>
        <v>11.711447959920427</v>
      </c>
    </row>
    <row r="502" spans="1:11" x14ac:dyDescent="0.35">
      <c r="A502" s="5"/>
      <c r="B502" s="5" t="str">
        <f t="shared" si="304"/>
        <v>SPS2</v>
      </c>
      <c r="C502" s="5" t="s">
        <v>7</v>
      </c>
      <c r="D502" t="s">
        <v>217</v>
      </c>
      <c r="E502" t="str">
        <f>E406</f>
        <v>PJ/yr.</v>
      </c>
      <c r="F502" s="6">
        <f>'[1]Electricity and CHPs_IN'!B$44-F361</f>
        <v>3.317566884544338</v>
      </c>
      <c r="G502" s="6">
        <f>'[1]Electricity and CHPs_IN'!C$44-G361</f>
        <v>3.4602069965292523</v>
      </c>
      <c r="H502" s="6">
        <f>'[1]Electricity and CHPs_IN'!D$44-H361</f>
        <v>4.7995479490472013</v>
      </c>
      <c r="I502" s="6">
        <f>'[1]Electricity and CHPs_IN'!E$44-I361</f>
        <v>5.012360521505542</v>
      </c>
      <c r="J502" s="6">
        <f>'[1]Electricity and CHPs_IN'!F$44-J361</f>
        <v>4.0767242881531045</v>
      </c>
      <c r="K502" s="6">
        <f>'[1]Electricity and CHPs_IN'!G$44-K361</f>
        <v>1.3039203272796902E-3</v>
      </c>
    </row>
    <row r="503" spans="1:11" x14ac:dyDescent="0.35">
      <c r="A503" s="5"/>
      <c r="B503" s="5" t="str">
        <f t="shared" si="304"/>
        <v>SPS2</v>
      </c>
      <c r="C503" s="5" t="s">
        <v>7</v>
      </c>
      <c r="D503" t="s">
        <v>218</v>
      </c>
      <c r="E503" t="str">
        <f>E407</f>
        <v>PJ/yr.</v>
      </c>
      <c r="F503" s="1">
        <f>'[1]Electricity and CHPs_IN'!B$45</f>
        <v>0</v>
      </c>
      <c r="G503" s="1">
        <f>'[1]Electricity and CHPs_IN'!C$45</f>
        <v>0</v>
      </c>
      <c r="H503" s="1">
        <f>'[1]Electricity and CHPs_IN'!D$45</f>
        <v>0</v>
      </c>
      <c r="I503" s="1">
        <f>'[1]Electricity and CHPs_IN'!E$45</f>
        <v>0</v>
      </c>
      <c r="J503" s="1">
        <f>'[1]Electricity and CHPs_IN'!F$45</f>
        <v>0.81241627042287823</v>
      </c>
      <c r="K503" s="1">
        <f>'[1]Electricity and CHPs_IN'!G$45</f>
        <v>11.710144039593148</v>
      </c>
    </row>
    <row r="504" spans="1:11" x14ac:dyDescent="0.35">
      <c r="A504" s="5"/>
      <c r="B504" s="5" t="str">
        <f t="shared" si="304"/>
        <v>SPS2</v>
      </c>
      <c r="C504" s="5" t="s">
        <v>7</v>
      </c>
      <c r="D504" t="s">
        <v>899</v>
      </c>
      <c r="E504" t="str">
        <f>E407</f>
        <v>PJ/yr.</v>
      </c>
      <c r="F504" s="1">
        <f>SUM(F505:F506)</f>
        <v>0</v>
      </c>
      <c r="G504" s="1">
        <f t="shared" ref="G504:K504" si="307">SUM(G505:G506)</f>
        <v>0</v>
      </c>
      <c r="H504" s="1">
        <f t="shared" si="307"/>
        <v>0</v>
      </c>
      <c r="I504" s="1">
        <f t="shared" si="307"/>
        <v>0</v>
      </c>
      <c r="J504" s="1">
        <f t="shared" si="307"/>
        <v>0</v>
      </c>
      <c r="K504" s="1">
        <f t="shared" si="307"/>
        <v>0</v>
      </c>
    </row>
    <row r="505" spans="1:11" x14ac:dyDescent="0.35">
      <c r="A505" s="5"/>
      <c r="B505" s="5" t="str">
        <f t="shared" si="304"/>
        <v>SPS2</v>
      </c>
      <c r="C505" s="5" t="s">
        <v>7</v>
      </c>
      <c r="D505" t="s">
        <v>219</v>
      </c>
      <c r="E505" t="str">
        <f>E408</f>
        <v>PJ/yr.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 x14ac:dyDescent="0.35">
      <c r="A506" s="5"/>
      <c r="B506" s="5" t="str">
        <f t="shared" si="304"/>
        <v>SPS2</v>
      </c>
      <c r="C506" s="5" t="s">
        <v>7</v>
      </c>
      <c r="D506" t="s">
        <v>220</v>
      </c>
      <c r="E506" t="str">
        <f>E409</f>
        <v>PJ/yr.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x14ac:dyDescent="0.35">
      <c r="A507" s="5"/>
      <c r="B507" s="5" t="str">
        <f t="shared" si="304"/>
        <v>SPS2</v>
      </c>
      <c r="C507" s="5" t="s">
        <v>7</v>
      </c>
      <c r="D507" t="s">
        <v>900</v>
      </c>
      <c r="E507" t="str">
        <f>E410</f>
        <v>PJ/yr.</v>
      </c>
      <c r="F507" s="1">
        <f>SUM(F508:F509)</f>
        <v>3.317566884544338</v>
      </c>
      <c r="G507" s="1">
        <f t="shared" ref="G507:K507" si="308">SUM(G508:G509)</f>
        <v>3.4602069965292523</v>
      </c>
      <c r="H507" s="1">
        <f t="shared" si="308"/>
        <v>4.7995479490472013</v>
      </c>
      <c r="I507" s="1">
        <f t="shared" si="308"/>
        <v>5.012360521505542</v>
      </c>
      <c r="J507" s="1">
        <f t="shared" si="308"/>
        <v>4.8891405585759831</v>
      </c>
      <c r="K507" s="1">
        <f t="shared" si="308"/>
        <v>11.711447959920427</v>
      </c>
    </row>
    <row r="508" spans="1:11" x14ac:dyDescent="0.35">
      <c r="A508" s="5"/>
      <c r="B508" s="5" t="str">
        <f t="shared" si="304"/>
        <v>SPS2</v>
      </c>
      <c r="C508" s="5" t="s">
        <v>7</v>
      </c>
      <c r="D508" t="s">
        <v>221</v>
      </c>
      <c r="E508" t="str">
        <f>E411</f>
        <v>PJ/yr.</v>
      </c>
      <c r="F508" s="1">
        <f>F502</f>
        <v>3.317566884544338</v>
      </c>
      <c r="G508" s="1">
        <f t="shared" ref="G508:K508" si="309">G502</f>
        <v>3.4602069965292523</v>
      </c>
      <c r="H508" s="1">
        <f t="shared" si="309"/>
        <v>4.7995479490472013</v>
      </c>
      <c r="I508" s="1">
        <f t="shared" si="309"/>
        <v>5.012360521505542</v>
      </c>
      <c r="J508" s="1">
        <f t="shared" si="309"/>
        <v>4.0767242881531045</v>
      </c>
      <c r="K508" s="1">
        <f t="shared" si="309"/>
        <v>1.3039203272796902E-3</v>
      </c>
    </row>
    <row r="509" spans="1:11" x14ac:dyDescent="0.35">
      <c r="A509" s="5"/>
      <c r="B509" s="5" t="str">
        <f t="shared" si="304"/>
        <v>SPS2</v>
      </c>
      <c r="C509" s="5" t="s">
        <v>7</v>
      </c>
      <c r="D509" t="s">
        <v>222</v>
      </c>
      <c r="E509" t="str">
        <f>E415</f>
        <v>PJ/yr.</v>
      </c>
      <c r="F509" s="1">
        <f>F503</f>
        <v>0</v>
      </c>
      <c r="G509" s="1">
        <f t="shared" ref="G509:K509" si="310">G503</f>
        <v>0</v>
      </c>
      <c r="H509" s="1">
        <f t="shared" si="310"/>
        <v>0</v>
      </c>
      <c r="I509" s="1">
        <f t="shared" si="310"/>
        <v>0</v>
      </c>
      <c r="J509" s="1">
        <f t="shared" si="310"/>
        <v>0.81241627042287823</v>
      </c>
      <c r="K509" s="1">
        <f t="shared" si="310"/>
        <v>11.710144039593148</v>
      </c>
    </row>
    <row r="510" spans="1:11" x14ac:dyDescent="0.35">
      <c r="A510" s="5"/>
      <c r="B510" s="5" t="str">
        <f t="shared" si="304"/>
        <v>SPS2</v>
      </c>
      <c r="C510" s="5" t="s">
        <v>7</v>
      </c>
      <c r="D510" t="s">
        <v>901</v>
      </c>
      <c r="E510" t="str">
        <f>E416</f>
        <v>PJ/yr.</v>
      </c>
      <c r="F510" s="1">
        <f>SUM(F511:F515)</f>
        <v>0.69178220918657862</v>
      </c>
      <c r="G510" s="1">
        <f t="shared" ref="G510:K510" si="311">SUM(G511:G515)</f>
        <v>1.7624791993359876</v>
      </c>
      <c r="H510" s="1">
        <f t="shared" si="311"/>
        <v>3.3762462105685973</v>
      </c>
      <c r="I510" s="1">
        <f t="shared" si="311"/>
        <v>3.529384675665511</v>
      </c>
      <c r="J510" s="1">
        <f t="shared" si="311"/>
        <v>5.838933487123052</v>
      </c>
      <c r="K510" s="1">
        <f t="shared" si="311"/>
        <v>8.7434958713581459</v>
      </c>
    </row>
    <row r="511" spans="1:11" x14ac:dyDescent="0.35">
      <c r="A511" s="5"/>
      <c r="B511" s="5" t="str">
        <f t="shared" si="304"/>
        <v>SPS2</v>
      </c>
      <c r="C511" s="5" t="s">
        <v>7</v>
      </c>
      <c r="D511" t="s">
        <v>223</v>
      </c>
      <c r="E511" t="str">
        <f>E417</f>
        <v>PJ/yr.</v>
      </c>
      <c r="F511" s="6">
        <f>'[1]Electricity and CHPs_IN'!B$42-F380</f>
        <v>0.69178220918657862</v>
      </c>
      <c r="G511" s="6">
        <f>'[1]Electricity and CHPs_IN'!C$42-G380</f>
        <v>1.7624791993359876</v>
      </c>
      <c r="H511" s="6">
        <f>'[1]Electricity and CHPs_IN'!D$42-H380</f>
        <v>3.3762462105685973</v>
      </c>
      <c r="I511" s="6">
        <f>'[1]Electricity and CHPs_IN'!E$42-I380</f>
        <v>3.4999184944123094</v>
      </c>
      <c r="J511" s="6">
        <f>'[1]Electricity and CHPs_IN'!F$42-J380</f>
        <v>1.6583026575070794</v>
      </c>
      <c r="K511" s="6">
        <f>'[1]Electricity and CHPs_IN'!G$42-K380</f>
        <v>0.64152079916114135</v>
      </c>
    </row>
    <row r="512" spans="1:11" x14ac:dyDescent="0.35">
      <c r="A512" s="5"/>
      <c r="B512" s="5" t="str">
        <f t="shared" si="304"/>
        <v>SPS2</v>
      </c>
      <c r="C512" s="5" t="s">
        <v>7</v>
      </c>
      <c r="D512" t="s">
        <v>224</v>
      </c>
      <c r="E512" t="str">
        <f>E418</f>
        <v>PJ/yr.</v>
      </c>
      <c r="F512" s="1">
        <f>'[1]Electricity and CHPs_IN'!B$43-F381</f>
        <v>0</v>
      </c>
      <c r="G512" s="1">
        <f>'[1]Electricity and CHPs_IN'!C$43-G381</f>
        <v>0</v>
      </c>
      <c r="H512" s="1">
        <f>'[1]Electricity and CHPs_IN'!D$43-H381</f>
        <v>0</v>
      </c>
      <c r="I512" s="1">
        <f>'[1]Electricity and CHPs_IN'!E$43-I381</f>
        <v>0</v>
      </c>
      <c r="J512" s="1">
        <f>'[1]Electricity and CHPs_IN'!F$43-J381</f>
        <v>3.8276683416792858</v>
      </c>
      <c r="K512" s="1">
        <f>'[1]Electricity and CHPs_IN'!G$43-K381</f>
        <v>8.050993033549819</v>
      </c>
    </row>
    <row r="513" spans="1:11" x14ac:dyDescent="0.35">
      <c r="A513" s="5"/>
      <c r="B513" s="5" t="str">
        <f t="shared" si="304"/>
        <v>SPS2</v>
      </c>
      <c r="C513" s="5" t="s">
        <v>7</v>
      </c>
      <c r="D513" t="s">
        <v>225</v>
      </c>
      <c r="E513" t="str">
        <f>E440</f>
        <v>PJ/yr.</v>
      </c>
      <c r="F513" s="1">
        <f>'[1]Electricity and CHPs_IN'!B$50-F382</f>
        <v>0</v>
      </c>
      <c r="G513" s="1">
        <f>'[1]Electricity and CHPs_IN'!C$50-G382</f>
        <v>0</v>
      </c>
      <c r="H513" s="1">
        <f>'[1]Electricity and CHPs_IN'!D$50-H382</f>
        <v>0</v>
      </c>
      <c r="I513" s="1">
        <f>'[1]Electricity and CHPs_IN'!E$50-I382</f>
        <v>1.001267957384439E-2</v>
      </c>
      <c r="J513" s="1">
        <f>'[1]Electricity and CHPs_IN'!F$50-J382</f>
        <v>2.4357511867640905E-2</v>
      </c>
      <c r="K513" s="1">
        <f>'[1]Electricity and CHPs_IN'!G$50-K382</f>
        <v>1.1690952560289668E-2</v>
      </c>
    </row>
    <row r="514" spans="1:11" x14ac:dyDescent="0.35">
      <c r="A514" s="5"/>
      <c r="B514" s="5" t="str">
        <f t="shared" si="304"/>
        <v>SPS2</v>
      </c>
      <c r="C514" s="5" t="s">
        <v>7</v>
      </c>
      <c r="D514" t="s">
        <v>226</v>
      </c>
      <c r="E514" t="str">
        <f>E444</f>
        <v>PJ/yr.</v>
      </c>
      <c r="F514" s="1">
        <f>'[1]Electricity and CHPs_IN'!B$53-F383</f>
        <v>0</v>
      </c>
      <c r="G514" s="1">
        <f>'[1]Electricity and CHPs_IN'!C$53-G383</f>
        <v>0</v>
      </c>
      <c r="H514" s="1">
        <f>'[1]Electricity and CHPs_IN'!D$53-H383</f>
        <v>0</v>
      </c>
      <c r="I514" s="1">
        <f>'[1]Electricity and CHPs_IN'!E$53-I383</f>
        <v>1.6732131183655543E-2</v>
      </c>
      <c r="J514" s="1">
        <f>'[1]Electricity and CHPs_IN'!F$53-J383</f>
        <v>0.32425699559362986</v>
      </c>
      <c r="K514" s="1">
        <f>'[1]Electricity and CHPs_IN'!G$53-K383</f>
        <v>3.6249275902757394E-2</v>
      </c>
    </row>
    <row r="515" spans="1:11" x14ac:dyDescent="0.35">
      <c r="A515" s="5"/>
      <c r="B515" s="5" t="str">
        <f t="shared" si="304"/>
        <v>SPS2</v>
      </c>
      <c r="C515" s="5" t="s">
        <v>7</v>
      </c>
      <c r="D515" t="s">
        <v>238</v>
      </c>
      <c r="E515" t="str">
        <f>E469</f>
        <v>PJ/yr.</v>
      </c>
      <c r="F515" s="1">
        <f>'[1]Electricity and CHPs_IN'!B$56-F384</f>
        <v>0</v>
      </c>
      <c r="G515" s="1">
        <f>'[1]Electricity and CHPs_IN'!C$56-G384</f>
        <v>0</v>
      </c>
      <c r="H515" s="1">
        <f>'[1]Electricity and CHPs_IN'!D$56-H384</f>
        <v>0</v>
      </c>
      <c r="I515" s="1">
        <f>'[1]Electricity and CHPs_IN'!E$56-I384</f>
        <v>2.7213704957015673E-3</v>
      </c>
      <c r="J515" s="1">
        <f>'[1]Electricity and CHPs_IN'!F$56-J384</f>
        <v>4.3479804754153178E-3</v>
      </c>
      <c r="K515" s="1">
        <f>'[1]Electricity and CHPs_IN'!G$56-K384</f>
        <v>3.0418101841389266E-3</v>
      </c>
    </row>
    <row r="516" spans="1:11" x14ac:dyDescent="0.35">
      <c r="A516" s="5"/>
      <c r="B516" s="5" t="str">
        <f t="shared" si="304"/>
        <v>SPS2</v>
      </c>
      <c r="C516" s="5" t="s">
        <v>7</v>
      </c>
      <c r="D516" t="s">
        <v>902</v>
      </c>
      <c r="E516" t="str">
        <f>E423</f>
        <v>PJ/yr.</v>
      </c>
      <c r="F516" s="1">
        <f>SUM(F517:F518)</f>
        <v>0</v>
      </c>
      <c r="G516" s="1">
        <f t="shared" ref="G516:K516" si="312">SUM(G517:G518)</f>
        <v>0</v>
      </c>
      <c r="H516" s="1">
        <f t="shared" si="312"/>
        <v>0</v>
      </c>
      <c r="I516" s="1">
        <f t="shared" si="312"/>
        <v>1.2029040216656368E-2</v>
      </c>
      <c r="J516" s="1">
        <f t="shared" si="312"/>
        <v>0.19310890045787971</v>
      </c>
      <c r="K516" s="1">
        <f t="shared" si="312"/>
        <v>0.11464568668198746</v>
      </c>
    </row>
    <row r="517" spans="1:11" x14ac:dyDescent="0.35">
      <c r="A517" s="5"/>
      <c r="B517" s="5" t="str">
        <f t="shared" si="304"/>
        <v>SPS2</v>
      </c>
      <c r="C517" s="5" t="s">
        <v>7</v>
      </c>
      <c r="D517" t="s">
        <v>227</v>
      </c>
      <c r="E517" t="str">
        <f>E424</f>
        <v>PJ/yr.</v>
      </c>
      <c r="F517" s="1">
        <f>'[1]Electricity and CHPs_IN'!B$46-F397</f>
        <v>0</v>
      </c>
      <c r="G517" s="1">
        <f>'[1]Electricity and CHPs_IN'!C$46-G397</f>
        <v>0</v>
      </c>
      <c r="H517" s="1">
        <f>'[1]Electricity and CHPs_IN'!D$46-H397</f>
        <v>0</v>
      </c>
      <c r="I517" s="1">
        <f>'[1]Electricity and CHPs_IN'!E$46-I397</f>
        <v>0</v>
      </c>
      <c r="J517" s="1">
        <f>'[1]Electricity and CHPs_IN'!F$46-J397</f>
        <v>0.17328313878720608</v>
      </c>
      <c r="K517" s="1">
        <f>'[1]Electricity and CHPs_IN'!G$46-K397</f>
        <v>0.11173310523754254</v>
      </c>
    </row>
    <row r="518" spans="1:11" x14ac:dyDescent="0.35">
      <c r="A518" s="5"/>
      <c r="B518" s="5" t="str">
        <f t="shared" si="304"/>
        <v>SPS2</v>
      </c>
      <c r="C518" s="5" t="s">
        <v>7</v>
      </c>
      <c r="D518" t="s">
        <v>239</v>
      </c>
      <c r="E518" t="str">
        <f>E471</f>
        <v>PJ/yr.</v>
      </c>
      <c r="F518" s="1">
        <f>'[1]Electricity and CHPs_IN'!B$57-F398</f>
        <v>0</v>
      </c>
      <c r="G518" s="1">
        <f>'[1]Electricity and CHPs_IN'!C$57-G398</f>
        <v>0</v>
      </c>
      <c r="H518" s="1">
        <f>'[1]Electricity and CHPs_IN'!D$57-H398</f>
        <v>0</v>
      </c>
      <c r="I518" s="1">
        <f>'[1]Electricity and CHPs_IN'!E$57-I398</f>
        <v>1.2029040216656368E-2</v>
      </c>
      <c r="J518" s="1">
        <f>'[1]Electricity and CHPs_IN'!F$57-J398</f>
        <v>1.9825761670673632E-2</v>
      </c>
      <c r="K518" s="1">
        <f>'[1]Electricity and CHPs_IN'!G$57-K398</f>
        <v>2.9125814444449245E-3</v>
      </c>
    </row>
    <row r="519" spans="1:11" x14ac:dyDescent="0.35">
      <c r="A519" s="5"/>
      <c r="B519" s="9" t="str">
        <f t="shared" si="304"/>
        <v>SPS2</v>
      </c>
      <c r="C519" s="9" t="s">
        <v>7</v>
      </c>
      <c r="D519" s="2" t="s">
        <v>241</v>
      </c>
      <c r="E519" s="5" t="s">
        <v>240</v>
      </c>
      <c r="F519" s="12" t="s">
        <v>292</v>
      </c>
      <c r="G519" s="12" t="s">
        <v>292</v>
      </c>
      <c r="H519" s="12" t="s">
        <v>292</v>
      </c>
      <c r="I519" s="12" t="s">
        <v>292</v>
      </c>
      <c r="J519" s="12" t="s">
        <v>292</v>
      </c>
      <c r="K519" s="12" t="s">
        <v>292</v>
      </c>
    </row>
    <row r="520" spans="1:11" x14ac:dyDescent="0.35">
      <c r="A520" s="5"/>
      <c r="B520" s="5" t="str">
        <f t="shared" si="304"/>
        <v>SPS2</v>
      </c>
      <c r="C520" s="5" t="s">
        <v>7</v>
      </c>
      <c r="D520" t="s">
        <v>242</v>
      </c>
      <c r="E520" s="5" t="s">
        <v>240</v>
      </c>
      <c r="F520" s="13">
        <f t="shared" ref="F520:K520" si="313">IFERROR(F63/F291,"-")</f>
        <v>0.32978911709086267</v>
      </c>
      <c r="G520" s="13">
        <f t="shared" si="313"/>
        <v>0.32672755727475822</v>
      </c>
      <c r="H520" s="13">
        <f t="shared" si="313"/>
        <v>0.3255930593844491</v>
      </c>
      <c r="I520" s="13">
        <f t="shared" si="313"/>
        <v>0.33003230278081441</v>
      </c>
      <c r="J520" s="13">
        <f t="shared" si="313"/>
        <v>0.33170584005147619</v>
      </c>
      <c r="K520" s="13" t="str">
        <f t="shared" si="313"/>
        <v>-</v>
      </c>
    </row>
    <row r="521" spans="1:11" x14ac:dyDescent="0.35">
      <c r="A521" s="5"/>
      <c r="B521" s="5" t="str">
        <f t="shared" si="304"/>
        <v>SPS2</v>
      </c>
      <c r="C521" s="5" t="s">
        <v>7</v>
      </c>
      <c r="D521" t="s">
        <v>243</v>
      </c>
      <c r="E521" s="5" t="s">
        <v>240</v>
      </c>
      <c r="F521" s="13">
        <f t="shared" ref="F521:K523" si="314">IFERROR(F65/F293,"-")</f>
        <v>1</v>
      </c>
      <c r="G521" s="13">
        <f t="shared" si="314"/>
        <v>1</v>
      </c>
      <c r="H521" s="13">
        <f t="shared" si="314"/>
        <v>1</v>
      </c>
      <c r="I521" s="13">
        <f t="shared" si="314"/>
        <v>1</v>
      </c>
      <c r="J521" s="13">
        <f t="shared" si="314"/>
        <v>1</v>
      </c>
      <c r="K521" s="13">
        <f t="shared" si="314"/>
        <v>1</v>
      </c>
    </row>
    <row r="522" spans="1:11" x14ac:dyDescent="0.35">
      <c r="A522" s="5"/>
      <c r="B522" s="5" t="str">
        <f t="shared" si="304"/>
        <v>SPS2</v>
      </c>
      <c r="C522" s="5" t="s">
        <v>7</v>
      </c>
      <c r="D522" t="s">
        <v>244</v>
      </c>
      <c r="E522" s="5" t="s">
        <v>240</v>
      </c>
      <c r="F522" s="13">
        <f t="shared" si="314"/>
        <v>1</v>
      </c>
      <c r="G522" s="13">
        <f t="shared" si="314"/>
        <v>1</v>
      </c>
      <c r="H522" s="13">
        <f t="shared" si="314"/>
        <v>1</v>
      </c>
      <c r="I522" s="13">
        <f t="shared" si="314"/>
        <v>1</v>
      </c>
      <c r="J522" s="13">
        <f t="shared" si="314"/>
        <v>1</v>
      </c>
      <c r="K522" s="13">
        <f t="shared" si="314"/>
        <v>1</v>
      </c>
    </row>
    <row r="523" spans="1:11" x14ac:dyDescent="0.35">
      <c r="A523" s="5"/>
      <c r="B523" s="5" t="str">
        <f t="shared" si="304"/>
        <v>SPS2</v>
      </c>
      <c r="C523" s="5" t="s">
        <v>7</v>
      </c>
      <c r="D523" t="s">
        <v>245</v>
      </c>
      <c r="E523" s="5" t="s">
        <v>240</v>
      </c>
      <c r="F523" s="13">
        <f t="shared" si="314"/>
        <v>0.79999968803216448</v>
      </c>
      <c r="G523" s="13">
        <f t="shared" si="314"/>
        <v>0.79999955676908707</v>
      </c>
      <c r="H523" s="13">
        <f t="shared" si="314"/>
        <v>0.79999951375654788</v>
      </c>
      <c r="I523" s="13">
        <f t="shared" si="314"/>
        <v>0.80000007532569017</v>
      </c>
      <c r="J523" s="13">
        <f t="shared" si="314"/>
        <v>0.80000036422029197</v>
      </c>
      <c r="K523" s="13">
        <f t="shared" si="314"/>
        <v>0.80000026302747762</v>
      </c>
    </row>
    <row r="524" spans="1:11" x14ac:dyDescent="0.35">
      <c r="A524" s="5"/>
      <c r="B524" s="5" t="str">
        <f t="shared" si="304"/>
        <v>SPS2</v>
      </c>
      <c r="C524" s="5" t="s">
        <v>7</v>
      </c>
      <c r="D524" t="s">
        <v>246</v>
      </c>
      <c r="E524" s="5" t="s">
        <v>240</v>
      </c>
      <c r="F524" s="13">
        <f>IFERROR(F69/F297,"-")</f>
        <v>0.28352800075810541</v>
      </c>
      <c r="G524" s="13">
        <f t="shared" ref="G524:K524" si="315">IFERROR(G69/G297,"-")</f>
        <v>0.14838695456101911</v>
      </c>
      <c r="H524" s="13">
        <f t="shared" si="315"/>
        <v>0.29542834866912454</v>
      </c>
      <c r="I524" s="13">
        <f t="shared" si="315"/>
        <v>0.28341926402621492</v>
      </c>
      <c r="J524" s="13">
        <f t="shared" si="315"/>
        <v>0.32093437709396705</v>
      </c>
      <c r="K524" s="13">
        <f t="shared" si="315"/>
        <v>0.29697728956323</v>
      </c>
    </row>
    <row r="525" spans="1:11" x14ac:dyDescent="0.35">
      <c r="A525" s="5"/>
      <c r="B525" s="5" t="str">
        <f t="shared" si="304"/>
        <v>SPS2</v>
      </c>
      <c r="C525" s="5" t="s">
        <v>7</v>
      </c>
      <c r="D525" t="s">
        <v>247</v>
      </c>
      <c r="E525" s="5" t="s">
        <v>240</v>
      </c>
      <c r="F525" s="13">
        <f>IFERROR(F70/(F298+F411),"-")</f>
        <v>5.2474321052198673E-2</v>
      </c>
      <c r="G525" s="13">
        <f t="shared" ref="G525:K525" si="316">IFERROR(G70/(G298+G411),"-")</f>
        <v>7.9469340932482396E-2</v>
      </c>
      <c r="H525" s="13">
        <f t="shared" si="316"/>
        <v>9.4029389766577431E-2</v>
      </c>
      <c r="I525" s="13">
        <f t="shared" si="316"/>
        <v>9.9302264928615186E-2</v>
      </c>
      <c r="J525" s="13">
        <f t="shared" si="316"/>
        <v>0.10321421437876918</v>
      </c>
      <c r="K525" s="13">
        <f t="shared" si="316"/>
        <v>8.9606264997677168E-2</v>
      </c>
    </row>
    <row r="526" spans="1:11" x14ac:dyDescent="0.35">
      <c r="A526" s="5"/>
      <c r="B526" s="5" t="str">
        <f t="shared" si="304"/>
        <v>SPS2</v>
      </c>
      <c r="C526" s="5" t="s">
        <v>7</v>
      </c>
      <c r="D526" t="s">
        <v>248</v>
      </c>
      <c r="E526" s="5" t="s">
        <v>240</v>
      </c>
      <c r="F526" s="13">
        <f>IFERROR(F71/(F299+F463),"-")</f>
        <v>0.22570677186125002</v>
      </c>
      <c r="G526" s="13">
        <f t="shared" ref="G526:K526" si="317">IFERROR(G71/(G299+G463),"-")</f>
        <v>0.24623993226326898</v>
      </c>
      <c r="H526" s="13">
        <f t="shared" si="317"/>
        <v>0.22462323927553546</v>
      </c>
      <c r="I526" s="13">
        <f t="shared" si="317"/>
        <v>0.26328314042420164</v>
      </c>
      <c r="J526" s="13" t="str">
        <f t="shared" si="317"/>
        <v>-</v>
      </c>
      <c r="K526" s="13" t="str">
        <f t="shared" si="317"/>
        <v>-</v>
      </c>
    </row>
    <row r="527" spans="1:11" x14ac:dyDescent="0.35">
      <c r="A527" s="5"/>
      <c r="B527" s="5" t="str">
        <f t="shared" si="304"/>
        <v>SPS2</v>
      </c>
      <c r="C527" s="5" t="s">
        <v>7</v>
      </c>
      <c r="D527" t="s">
        <v>249</v>
      </c>
      <c r="E527" s="5" t="s">
        <v>240</v>
      </c>
      <c r="F527" s="13" t="str">
        <f>IFERROR(F81/F309,"-")</f>
        <v>-</v>
      </c>
      <c r="G527" s="13" t="str">
        <f t="shared" ref="G527:K527" si="318">IFERROR(G81/G309,"-")</f>
        <v>-</v>
      </c>
      <c r="H527" s="13" t="str">
        <f t="shared" si="318"/>
        <v>-</v>
      </c>
      <c r="I527" s="13" t="str">
        <f t="shared" si="318"/>
        <v>-</v>
      </c>
      <c r="J527" s="13">
        <f t="shared" si="318"/>
        <v>0.52111213010766622</v>
      </c>
      <c r="K527" s="13">
        <f t="shared" si="318"/>
        <v>0.53721958402371806</v>
      </c>
    </row>
    <row r="528" spans="1:11" x14ac:dyDescent="0.35">
      <c r="A528" s="5"/>
      <c r="B528" s="5" t="str">
        <f t="shared" si="304"/>
        <v>SPS2</v>
      </c>
      <c r="C528" s="5" t="s">
        <v>7</v>
      </c>
      <c r="D528" t="s">
        <v>250</v>
      </c>
      <c r="E528" s="5" t="s">
        <v>240</v>
      </c>
      <c r="F528" s="13" t="str">
        <f>IFERROR(F82/F310,"-")</f>
        <v>-</v>
      </c>
      <c r="G528" s="13" t="str">
        <f t="shared" ref="G528:K528" si="319">IFERROR(G82/G310,"-")</f>
        <v>-</v>
      </c>
      <c r="H528" s="13" t="str">
        <f t="shared" si="319"/>
        <v>-</v>
      </c>
      <c r="I528" s="13" t="str">
        <f t="shared" si="319"/>
        <v>-</v>
      </c>
      <c r="J528" s="13">
        <f t="shared" si="319"/>
        <v>0.31656115985423694</v>
      </c>
      <c r="K528" s="13">
        <f t="shared" si="319"/>
        <v>0.39054076829583151</v>
      </c>
    </row>
    <row r="529" spans="1:11" x14ac:dyDescent="0.35">
      <c r="A529" s="5"/>
      <c r="B529" s="5" t="str">
        <f t="shared" si="304"/>
        <v>SPS2</v>
      </c>
      <c r="C529" s="5" t="s">
        <v>7</v>
      </c>
      <c r="D529" t="s">
        <v>251</v>
      </c>
      <c r="E529" s="5" t="s">
        <v>240</v>
      </c>
      <c r="F529" s="13" t="str">
        <f>IFERROR(F83/F311,"-")</f>
        <v>-</v>
      </c>
      <c r="G529" s="13" t="str">
        <f t="shared" ref="G529:K529" si="320">IFERROR(G83/G311,"-")</f>
        <v>-</v>
      </c>
      <c r="H529" s="13" t="str">
        <f t="shared" si="320"/>
        <v>-</v>
      </c>
      <c r="I529" s="13" t="str">
        <f t="shared" si="320"/>
        <v>-</v>
      </c>
      <c r="J529" s="13" t="str">
        <f t="shared" si="320"/>
        <v>-</v>
      </c>
      <c r="K529" s="13" t="str">
        <f t="shared" si="320"/>
        <v>-</v>
      </c>
    </row>
    <row r="530" spans="1:11" x14ac:dyDescent="0.35">
      <c r="A530" s="5"/>
      <c r="B530" s="5" t="str">
        <f t="shared" si="304"/>
        <v>SPS2</v>
      </c>
      <c r="C530" s="5" t="s">
        <v>7</v>
      </c>
      <c r="D530" t="s">
        <v>252</v>
      </c>
      <c r="E530" s="5" t="s">
        <v>240</v>
      </c>
      <c r="F530" s="13">
        <f>IFERROR(F84/SUM(F312,F417),"-")</f>
        <v>0.25995650081481025</v>
      </c>
      <c r="G530" s="13">
        <f t="shared" ref="G530:K530" si="321">IFERROR(G84/SUM(G312,G417),"-")</f>
        <v>0.23368091835923163</v>
      </c>
      <c r="H530" s="13">
        <f t="shared" si="321"/>
        <v>0.21241274254931658</v>
      </c>
      <c r="I530" s="13" t="str">
        <f t="shared" si="321"/>
        <v>-</v>
      </c>
      <c r="J530" s="13">
        <f t="shared" si="321"/>
        <v>0</v>
      </c>
      <c r="K530" s="13" t="str">
        <f t="shared" si="321"/>
        <v>-</v>
      </c>
    </row>
    <row r="531" spans="1:11" x14ac:dyDescent="0.35">
      <c r="A531" s="5"/>
      <c r="B531" s="5" t="str">
        <f t="shared" si="304"/>
        <v>SPS2</v>
      </c>
      <c r="C531" s="5" t="s">
        <v>7</v>
      </c>
      <c r="D531" t="s">
        <v>253</v>
      </c>
      <c r="E531" s="5" t="s">
        <v>240</v>
      </c>
      <c r="F531" s="13" t="str">
        <f>IFERROR(F85/SUM(F313,F418),"-")</f>
        <v>-</v>
      </c>
      <c r="G531" s="13" t="str">
        <f t="shared" ref="G531:K531" si="322">IFERROR(G85/SUM(G313,G418),"-")</f>
        <v>-</v>
      </c>
      <c r="H531" s="13" t="str">
        <f t="shared" si="322"/>
        <v>-</v>
      </c>
      <c r="I531" s="13" t="str">
        <f t="shared" si="322"/>
        <v>-</v>
      </c>
      <c r="J531" s="13" t="str">
        <f t="shared" si="322"/>
        <v>-</v>
      </c>
      <c r="K531" s="13" t="str">
        <f t="shared" si="322"/>
        <v>-</v>
      </c>
    </row>
    <row r="532" spans="1:11" x14ac:dyDescent="0.35">
      <c r="A532" s="5"/>
      <c r="B532" s="5" t="str">
        <f t="shared" si="304"/>
        <v>SPS2</v>
      </c>
      <c r="C532" s="5" t="s">
        <v>7</v>
      </c>
      <c r="D532" t="s">
        <v>254</v>
      </c>
      <c r="E532" s="5" t="s">
        <v>240</v>
      </c>
      <c r="F532" s="13">
        <f>IFERROR(F86/SUM(F314,F469),"-'")</f>
        <v>0.34580072709363074</v>
      </c>
      <c r="G532" s="13">
        <f t="shared" ref="G532:K532" si="323">IFERROR(G86/SUM(G314,G469),"-'")</f>
        <v>0.35038212357933257</v>
      </c>
      <c r="H532" s="13">
        <f t="shared" si="323"/>
        <v>0.33889503568430684</v>
      </c>
      <c r="I532" s="13">
        <f t="shared" si="323"/>
        <v>0.35804339135514202</v>
      </c>
      <c r="J532" s="13">
        <f t="shared" si="323"/>
        <v>0.35715160421336783</v>
      </c>
      <c r="K532" s="13">
        <f t="shared" si="323"/>
        <v>0.21279203189063348</v>
      </c>
    </row>
    <row r="533" spans="1:11" x14ac:dyDescent="0.35">
      <c r="A533" s="5"/>
      <c r="B533" s="5" t="str">
        <f t="shared" si="304"/>
        <v>SPS2</v>
      </c>
      <c r="C533" s="5" t="s">
        <v>7</v>
      </c>
      <c r="D533" t="s">
        <v>255</v>
      </c>
      <c r="E533" s="5" t="s">
        <v>240</v>
      </c>
      <c r="F533" s="13" t="str">
        <f t="shared" ref="F533:F541" si="324">IFERROR(F87/SUM(F315,F470),"-")</f>
        <v>-</v>
      </c>
      <c r="G533" s="13" t="str">
        <f t="shared" ref="G533:K533" si="325">IFERROR(G87/SUM(G315,G470),"-")</f>
        <v>-</v>
      </c>
      <c r="H533" s="13" t="str">
        <f t="shared" si="325"/>
        <v>-</v>
      </c>
      <c r="I533" s="13" t="str">
        <f t="shared" si="325"/>
        <v>-</v>
      </c>
      <c r="J533" s="13">
        <f t="shared" si="325"/>
        <v>0.27524515393113419</v>
      </c>
      <c r="K533" s="13">
        <f t="shared" si="325"/>
        <v>0.31505343076297687</v>
      </c>
    </row>
    <row r="534" spans="1:11" x14ac:dyDescent="0.35">
      <c r="A534" s="5"/>
      <c r="B534" s="5" t="str">
        <f t="shared" si="304"/>
        <v>SPS2</v>
      </c>
      <c r="C534" s="5" t="s">
        <v>7</v>
      </c>
      <c r="D534" t="s">
        <v>256</v>
      </c>
      <c r="E534" s="5" t="s">
        <v>240</v>
      </c>
      <c r="F534" s="13" t="str">
        <f t="shared" si="324"/>
        <v>-</v>
      </c>
      <c r="G534" s="13" t="str">
        <f t="shared" ref="G534:K534" si="326">IFERROR(G88/SUM(G316,G471),"-")</f>
        <v>-</v>
      </c>
      <c r="H534" s="13" t="str">
        <f t="shared" si="326"/>
        <v>-</v>
      </c>
      <c r="I534" s="13" t="str">
        <f t="shared" si="326"/>
        <v>-</v>
      </c>
      <c r="J534" s="13" t="str">
        <f t="shared" si="326"/>
        <v>-</v>
      </c>
      <c r="K534" s="13" t="str">
        <f t="shared" si="326"/>
        <v>-</v>
      </c>
    </row>
    <row r="535" spans="1:11" x14ac:dyDescent="0.35">
      <c r="A535" s="5"/>
      <c r="B535" s="5" t="str">
        <f t="shared" si="304"/>
        <v>SPS2</v>
      </c>
      <c r="C535" s="5" t="s">
        <v>7</v>
      </c>
      <c r="D535" t="s">
        <v>257</v>
      </c>
      <c r="E535" s="5" t="s">
        <v>240</v>
      </c>
      <c r="F535" s="13">
        <f t="shared" si="324"/>
        <v>0.17324321890780056</v>
      </c>
      <c r="G535" s="13">
        <f t="shared" ref="G535:K535" si="327">IFERROR(G89/SUM(G317,G472),"-")</f>
        <v>0.26078515147105136</v>
      </c>
      <c r="H535" s="13">
        <f t="shared" si="327"/>
        <v>0.20646121041217705</v>
      </c>
      <c r="I535" s="13">
        <f t="shared" si="327"/>
        <v>0.25849652887059948</v>
      </c>
      <c r="J535" s="13">
        <f t="shared" si="327"/>
        <v>0.2631769631826234</v>
      </c>
      <c r="K535" s="13" t="str">
        <f t="shared" si="327"/>
        <v>-</v>
      </c>
    </row>
    <row r="536" spans="1:11" x14ac:dyDescent="0.35">
      <c r="A536" s="5"/>
      <c r="B536" s="5" t="str">
        <f t="shared" si="304"/>
        <v>SPS2</v>
      </c>
      <c r="C536" s="5" t="s">
        <v>7</v>
      </c>
      <c r="D536" t="s">
        <v>258</v>
      </c>
      <c r="E536" s="5" t="s">
        <v>240</v>
      </c>
      <c r="F536" s="13" t="str">
        <f t="shared" si="324"/>
        <v>-</v>
      </c>
      <c r="G536" s="13" t="str">
        <f t="shared" ref="G536:K536" si="328">IFERROR(G90/SUM(G318,G473),"-")</f>
        <v>-</v>
      </c>
      <c r="H536" s="13" t="str">
        <f t="shared" si="328"/>
        <v>-</v>
      </c>
      <c r="I536" s="13" t="str">
        <f t="shared" si="328"/>
        <v>-</v>
      </c>
      <c r="J536" s="13" t="str">
        <f t="shared" si="328"/>
        <v>-</v>
      </c>
      <c r="K536" s="13" t="str">
        <f t="shared" si="328"/>
        <v>-</v>
      </c>
    </row>
    <row r="537" spans="1:11" x14ac:dyDescent="0.35">
      <c r="A537" s="5"/>
      <c r="B537" s="5" t="str">
        <f t="shared" si="304"/>
        <v>SPS2</v>
      </c>
      <c r="C537" s="5" t="s">
        <v>7</v>
      </c>
      <c r="D537" t="s">
        <v>259</v>
      </c>
      <c r="E537" s="5" t="s">
        <v>240</v>
      </c>
      <c r="F537" s="13">
        <f t="shared" si="324"/>
        <v>0.20466122899823908</v>
      </c>
      <c r="G537" s="13">
        <f t="shared" ref="G537:K537" si="329">IFERROR(G91/SUM(G319,G474),"-")</f>
        <v>0.28337020141476671</v>
      </c>
      <c r="H537" s="13">
        <f t="shared" si="329"/>
        <v>0.24911791645488698</v>
      </c>
      <c r="I537" s="13">
        <f t="shared" si="329"/>
        <v>0.28482178833396987</v>
      </c>
      <c r="J537" s="13">
        <f t="shared" si="329"/>
        <v>0.29506564793558671</v>
      </c>
      <c r="K537" s="13" t="str">
        <f t="shared" si="329"/>
        <v>-</v>
      </c>
    </row>
    <row r="538" spans="1:11" x14ac:dyDescent="0.35">
      <c r="A538" s="5"/>
      <c r="B538" s="5" t="str">
        <f t="shared" si="304"/>
        <v>SPS2</v>
      </c>
      <c r="C538" s="5" t="s">
        <v>7</v>
      </c>
      <c r="D538" t="s">
        <v>260</v>
      </c>
      <c r="E538" s="5" t="s">
        <v>240</v>
      </c>
      <c r="F538" s="13" t="str">
        <f t="shared" si="324"/>
        <v>-</v>
      </c>
      <c r="G538" s="13" t="str">
        <f t="shared" ref="G538:K538" si="330">IFERROR(G92/SUM(G320,G475),"-")</f>
        <v>-</v>
      </c>
      <c r="H538" s="13" t="str">
        <f t="shared" si="330"/>
        <v>-</v>
      </c>
      <c r="I538" s="13" t="str">
        <f t="shared" si="330"/>
        <v>-</v>
      </c>
      <c r="J538" s="13" t="str">
        <f t="shared" si="330"/>
        <v>-</v>
      </c>
      <c r="K538" s="13" t="str">
        <f t="shared" si="330"/>
        <v>-</v>
      </c>
    </row>
    <row r="539" spans="1:11" x14ac:dyDescent="0.35">
      <c r="A539" s="5"/>
      <c r="B539" s="5" t="str">
        <f t="shared" si="304"/>
        <v>SPS2</v>
      </c>
      <c r="C539" s="5" t="s">
        <v>7</v>
      </c>
      <c r="D539" t="s">
        <v>261</v>
      </c>
      <c r="E539" s="5" t="s">
        <v>240</v>
      </c>
      <c r="F539" s="13">
        <f t="shared" si="324"/>
        <v>0.36266199765992707</v>
      </c>
      <c r="G539" s="13">
        <f t="shared" ref="G539:K539" si="331">IFERROR(G93/SUM(G321,G476),"-")</f>
        <v>0.36298734963116192</v>
      </c>
      <c r="H539" s="13">
        <f t="shared" si="331"/>
        <v>0.36288214680655978</v>
      </c>
      <c r="I539" s="13">
        <f t="shared" si="331"/>
        <v>0.36468913370307804</v>
      </c>
      <c r="J539" s="13">
        <f t="shared" si="331"/>
        <v>0.37488177708160703</v>
      </c>
      <c r="K539" s="13">
        <f t="shared" si="331"/>
        <v>0.38228783744698136</v>
      </c>
    </row>
    <row r="540" spans="1:11" x14ac:dyDescent="0.35">
      <c r="A540" s="5"/>
      <c r="B540" s="5" t="str">
        <f t="shared" si="304"/>
        <v>SPS2</v>
      </c>
      <c r="C540" s="5" t="s">
        <v>7</v>
      </c>
      <c r="D540" t="s">
        <v>262</v>
      </c>
      <c r="E540" s="5" t="s">
        <v>240</v>
      </c>
      <c r="F540" s="13">
        <f t="shared" si="324"/>
        <v>0.34911309321111544</v>
      </c>
      <c r="G540" s="13">
        <f t="shared" ref="G540:K540" si="332">IFERROR(G94/SUM(G322,G477),"-")</f>
        <v>0.35991740832310326</v>
      </c>
      <c r="H540" s="13">
        <f t="shared" si="332"/>
        <v>0.27644147290983556</v>
      </c>
      <c r="I540" s="13">
        <f t="shared" si="332"/>
        <v>0.32882694186139244</v>
      </c>
      <c r="J540" s="13">
        <f t="shared" si="332"/>
        <v>0.32639123590324176</v>
      </c>
      <c r="K540" s="13" t="str">
        <f t="shared" si="332"/>
        <v>-</v>
      </c>
    </row>
    <row r="541" spans="1:11" x14ac:dyDescent="0.35">
      <c r="A541" s="5"/>
      <c r="B541" s="5" t="str">
        <f t="shared" si="304"/>
        <v>SPS2</v>
      </c>
      <c r="C541" s="5" t="s">
        <v>7</v>
      </c>
      <c r="D541" t="s">
        <v>263</v>
      </c>
      <c r="E541" s="5" t="s">
        <v>240</v>
      </c>
      <c r="F541" s="13" t="str">
        <f t="shared" si="324"/>
        <v>-</v>
      </c>
      <c r="G541" s="13" t="str">
        <f t="shared" ref="G541:K541" si="333">IFERROR(G95/SUM(G323,G478),"-")</f>
        <v>-</v>
      </c>
      <c r="H541" s="13" t="str">
        <f t="shared" si="333"/>
        <v>-</v>
      </c>
      <c r="I541" s="13" t="str">
        <f t="shared" si="333"/>
        <v>-</v>
      </c>
      <c r="J541" s="13" t="str">
        <f t="shared" si="333"/>
        <v>-</v>
      </c>
      <c r="K541" s="13" t="str">
        <f t="shared" si="333"/>
        <v>-</v>
      </c>
    </row>
    <row r="542" spans="1:11" x14ac:dyDescent="0.35">
      <c r="B542" s="5" t="str">
        <f t="shared" si="304"/>
        <v>SPS2</v>
      </c>
      <c r="C542" s="5" t="s">
        <v>7</v>
      </c>
      <c r="D542" t="s">
        <v>264</v>
      </c>
      <c r="E542" s="5" t="s">
        <v>240</v>
      </c>
      <c r="F542" s="13">
        <f>IFERROR(F129/F357,"-")</f>
        <v>0.3574569537601659</v>
      </c>
      <c r="G542" s="13">
        <f t="shared" ref="G542:K542" si="334">IFERROR(G129/G357,"-")</f>
        <v>0.35745695376016623</v>
      </c>
      <c r="H542" s="13">
        <f t="shared" si="334"/>
        <v>0.35745695376016573</v>
      </c>
      <c r="I542" s="13">
        <f t="shared" si="334"/>
        <v>0.35745695376016612</v>
      </c>
      <c r="J542" s="13">
        <f t="shared" si="334"/>
        <v>0.35745695376016584</v>
      </c>
      <c r="K542" s="13">
        <f t="shared" si="334"/>
        <v>0.35745695376016606</v>
      </c>
    </row>
    <row r="543" spans="1:11" x14ac:dyDescent="0.35">
      <c r="B543" s="5" t="str">
        <f t="shared" si="304"/>
        <v>SPS2</v>
      </c>
      <c r="C543" s="5" t="s">
        <v>7</v>
      </c>
      <c r="D543" t="s">
        <v>265</v>
      </c>
      <c r="E543" s="5" t="s">
        <v>240</v>
      </c>
      <c r="F543" s="13" t="str">
        <f>IFERROR(F130/F358,"-")</f>
        <v>-</v>
      </c>
      <c r="G543" s="13" t="str">
        <f t="shared" ref="G543:K543" si="335">IFERROR(G130/G358,"-")</f>
        <v>-</v>
      </c>
      <c r="H543" s="13" t="str">
        <f t="shared" si="335"/>
        <v>-</v>
      </c>
      <c r="I543" s="13" t="str">
        <f t="shared" si="335"/>
        <v>-</v>
      </c>
      <c r="J543" s="13">
        <f t="shared" si="335"/>
        <v>0.33470839322286849</v>
      </c>
      <c r="K543" s="13">
        <f t="shared" si="335"/>
        <v>0.34140256108732608</v>
      </c>
    </row>
    <row r="544" spans="1:11" x14ac:dyDescent="0.35">
      <c r="B544" s="5" t="str">
        <f t="shared" si="304"/>
        <v>SPS2</v>
      </c>
      <c r="C544" s="5" t="s">
        <v>7</v>
      </c>
      <c r="D544" t="s">
        <v>266</v>
      </c>
      <c r="E544" s="5" t="s">
        <v>240</v>
      </c>
      <c r="F544" s="13">
        <f>IFERROR(F131/SUM(F359,F426),"-")</f>
        <v>3.8383652429757407E-2</v>
      </c>
      <c r="G544" s="13">
        <f t="shared" ref="G544:K544" si="336">IFERROR(G131/SUM(G359,G426),"-")</f>
        <v>3.7656913708557546E-2</v>
      </c>
      <c r="H544" s="13">
        <f t="shared" si="336"/>
        <v>3.8347281027200267E-2</v>
      </c>
      <c r="I544" s="13">
        <f t="shared" si="336"/>
        <v>3.6623027020692825E-2</v>
      </c>
      <c r="J544" s="13">
        <f t="shared" si="336"/>
        <v>3.3585785051241317E-2</v>
      </c>
      <c r="K544" s="13">
        <f t="shared" si="336"/>
        <v>2.6104921912488373E-2</v>
      </c>
    </row>
    <row r="545" spans="2:11" x14ac:dyDescent="0.35">
      <c r="B545" s="5" t="str">
        <f t="shared" si="304"/>
        <v>SPS2</v>
      </c>
      <c r="C545" s="5" t="s">
        <v>7</v>
      </c>
      <c r="D545" t="s">
        <v>267</v>
      </c>
      <c r="E545" s="5" t="s">
        <v>240</v>
      </c>
      <c r="F545" s="13" t="str">
        <f>IFERROR(F132/SUM(F360,F427),"-")</f>
        <v>-</v>
      </c>
      <c r="G545" s="13" t="str">
        <f t="shared" ref="G545:K545" si="337">IFERROR(G132/SUM(G360,G427),"-")</f>
        <v>-</v>
      </c>
      <c r="H545" s="13" t="str">
        <f t="shared" si="337"/>
        <v>-</v>
      </c>
      <c r="I545" s="13" t="str">
        <f t="shared" si="337"/>
        <v>-</v>
      </c>
      <c r="J545" s="13">
        <f t="shared" si="337"/>
        <v>4.8242849883234774E-2</v>
      </c>
      <c r="K545" s="13">
        <f t="shared" si="337"/>
        <v>5.3999999999999979E-2</v>
      </c>
    </row>
    <row r="546" spans="2:11" x14ac:dyDescent="0.35">
      <c r="B546" s="5" t="str">
        <f t="shared" si="304"/>
        <v>SPS2</v>
      </c>
      <c r="C546" s="5" t="s">
        <v>7</v>
      </c>
      <c r="D546" t="s">
        <v>268</v>
      </c>
      <c r="E546" s="5" t="s">
        <v>240</v>
      </c>
      <c r="F546" s="13">
        <f>IFERROR(F133/SUM(F361,F502),"-")</f>
        <v>6.1978203698598154E-2</v>
      </c>
      <c r="G546" s="13">
        <f t="shared" ref="G546:K546" si="338">IFERROR(G133/SUM(G361,G502),"-")</f>
        <v>6.1974004869842926E-2</v>
      </c>
      <c r="H546" s="13">
        <f t="shared" si="338"/>
        <v>6.197265056735534E-2</v>
      </c>
      <c r="I546" s="13">
        <f t="shared" si="338"/>
        <v>6.1972650567355292E-2</v>
      </c>
      <c r="J546" s="13">
        <f t="shared" si="338"/>
        <v>6.1972650567355285E-2</v>
      </c>
      <c r="K546" s="13">
        <f t="shared" si="338"/>
        <v>6.1972650567355368E-2</v>
      </c>
    </row>
    <row r="547" spans="2:11" x14ac:dyDescent="0.35">
      <c r="B547" s="5" t="str">
        <f t="shared" si="304"/>
        <v>SPS2</v>
      </c>
      <c r="C547" s="5" t="s">
        <v>7</v>
      </c>
      <c r="D547" t="s">
        <v>269</v>
      </c>
      <c r="E547" s="5" t="s">
        <v>240</v>
      </c>
      <c r="F547" s="13" t="str">
        <f>IFERROR(F134/SUM(F362,F503),"-")</f>
        <v>-</v>
      </c>
      <c r="G547" s="13" t="str">
        <f t="shared" ref="G547:K547" si="339">IFERROR(G134/SUM(G362,G503),"-")</f>
        <v>-</v>
      </c>
      <c r="H547" s="13" t="str">
        <f t="shared" si="339"/>
        <v>-</v>
      </c>
      <c r="I547" s="13" t="str">
        <f t="shared" si="339"/>
        <v>-</v>
      </c>
      <c r="J547" s="13">
        <f t="shared" si="339"/>
        <v>4.7880823847050474E-2</v>
      </c>
      <c r="K547" s="13">
        <f t="shared" si="339"/>
        <v>4.5431760215214285E-2</v>
      </c>
    </row>
    <row r="548" spans="2:11" x14ac:dyDescent="0.35">
      <c r="B548" s="5" t="str">
        <f t="shared" si="304"/>
        <v>SPS2</v>
      </c>
      <c r="C548" s="5" t="s">
        <v>7</v>
      </c>
      <c r="D548" t="s">
        <v>270</v>
      </c>
      <c r="E548" s="5" t="s">
        <v>240</v>
      </c>
      <c r="F548" s="13">
        <f>IFERROR(F150/SUM(F378,F435),"-")</f>
        <v>0.24391033470383197</v>
      </c>
      <c r="G548" s="13">
        <f t="shared" ref="G548:K548" si="340">IFERROR(G150/SUM(G378,G435),"-")</f>
        <v>0.23751707156949922</v>
      </c>
      <c r="H548" s="13">
        <f t="shared" si="340"/>
        <v>0.21905003207111812</v>
      </c>
      <c r="I548" s="13">
        <f t="shared" si="340"/>
        <v>0.27409608406601171</v>
      </c>
      <c r="J548" s="13">
        <f t="shared" si="340"/>
        <v>0.32084931387973459</v>
      </c>
      <c r="K548" s="13">
        <f t="shared" si="340"/>
        <v>0.30590952350751482</v>
      </c>
    </row>
    <row r="549" spans="2:11" x14ac:dyDescent="0.35">
      <c r="B549" s="5" t="str">
        <f t="shared" si="304"/>
        <v>SPS2</v>
      </c>
      <c r="C549" s="5" t="s">
        <v>7</v>
      </c>
      <c r="D549" t="s">
        <v>271</v>
      </c>
      <c r="E549" s="5" t="s">
        <v>240</v>
      </c>
      <c r="F549" s="13" t="str">
        <f>IFERROR(F151/F379,"-")</f>
        <v>-</v>
      </c>
      <c r="G549" s="13" t="str">
        <f t="shared" ref="G549:K549" si="341">IFERROR(G151/G379,"-")</f>
        <v>-</v>
      </c>
      <c r="H549" s="13" t="str">
        <f t="shared" si="341"/>
        <v>-</v>
      </c>
      <c r="I549" s="13" t="str">
        <f t="shared" si="341"/>
        <v>-</v>
      </c>
      <c r="J549" s="13">
        <f t="shared" si="341"/>
        <v>0.13324599397502637</v>
      </c>
      <c r="K549" s="13">
        <f t="shared" si="341"/>
        <v>0.12606804239404226</v>
      </c>
    </row>
    <row r="550" spans="2:11" x14ac:dyDescent="0.35">
      <c r="B550" s="5" t="str">
        <f t="shared" si="304"/>
        <v>SPS2</v>
      </c>
      <c r="C550" s="5" t="s">
        <v>7</v>
      </c>
      <c r="D550" t="s">
        <v>272</v>
      </c>
      <c r="E550" s="5" t="s">
        <v>240</v>
      </c>
      <c r="F550" s="13">
        <f>IFERROR(F152/SUM(F380,F511),"-")</f>
        <v>0.19766460290089968</v>
      </c>
      <c r="G550" s="13">
        <f t="shared" ref="G550:K550" si="342">IFERROR(G152/SUM(G380,G511),"-")</f>
        <v>0.22575247590892375</v>
      </c>
      <c r="H550" s="13">
        <f t="shared" si="342"/>
        <v>0.24868484837797325</v>
      </c>
      <c r="I550" s="13">
        <f t="shared" si="342"/>
        <v>0.33836078973442157</v>
      </c>
      <c r="J550" s="13">
        <f t="shared" si="342"/>
        <v>0.35274762969142198</v>
      </c>
      <c r="K550" s="13">
        <f t="shared" si="342"/>
        <v>0.36726678688889036</v>
      </c>
    </row>
    <row r="551" spans="2:11" x14ac:dyDescent="0.35">
      <c r="B551" s="5" t="str">
        <f t="shared" si="304"/>
        <v>SPS2</v>
      </c>
      <c r="C551" s="5" t="s">
        <v>7</v>
      </c>
      <c r="D551" t="s">
        <v>273</v>
      </c>
      <c r="E551" s="5" t="s">
        <v>240</v>
      </c>
      <c r="F551" s="13" t="str">
        <f>IFERROR(F153/SUM(F381,F512),"-")</f>
        <v>-</v>
      </c>
      <c r="G551" s="13" t="str">
        <f t="shared" ref="G551:K551" si="343">IFERROR(G153/SUM(G381,G512),"-")</f>
        <v>-</v>
      </c>
      <c r="H551" s="13" t="str">
        <f t="shared" si="343"/>
        <v>-</v>
      </c>
      <c r="I551" s="13" t="str">
        <f t="shared" si="343"/>
        <v>-</v>
      </c>
      <c r="J551" s="13">
        <f t="shared" si="343"/>
        <v>0.33527620576301492</v>
      </c>
      <c r="K551" s="13">
        <f t="shared" si="343"/>
        <v>0.34827602085691045</v>
      </c>
    </row>
    <row r="552" spans="2:11" x14ac:dyDescent="0.35">
      <c r="B552" s="5" t="str">
        <f t="shared" si="304"/>
        <v>SPS2</v>
      </c>
      <c r="C552" s="5" t="s">
        <v>7</v>
      </c>
      <c r="D552" t="s">
        <v>274</v>
      </c>
      <c r="E552" s="5" t="s">
        <v>240</v>
      </c>
      <c r="F552" s="13" t="str">
        <f>IFERROR(F154/SUM(F382,F513),"-")</f>
        <v>-</v>
      </c>
      <c r="G552" s="13" t="str">
        <f t="shared" ref="G552:K552" si="344">IFERROR(G154/SUM(G382,G513),"-")</f>
        <v>-</v>
      </c>
      <c r="H552" s="13" t="str">
        <f t="shared" si="344"/>
        <v>-</v>
      </c>
      <c r="I552" s="13">
        <f t="shared" si="344"/>
        <v>0.20799932646449631</v>
      </c>
      <c r="J552" s="13">
        <f t="shared" si="344"/>
        <v>0.23350987462317077</v>
      </c>
      <c r="K552" s="13">
        <f t="shared" si="344"/>
        <v>0.23958728107814742</v>
      </c>
    </row>
    <row r="553" spans="2:11" x14ac:dyDescent="0.35">
      <c r="B553" s="5" t="str">
        <f t="shared" si="304"/>
        <v>SPS2</v>
      </c>
      <c r="C553" s="5" t="s">
        <v>7</v>
      </c>
      <c r="D553" t="s">
        <v>275</v>
      </c>
      <c r="E553" s="5" t="s">
        <v>240</v>
      </c>
      <c r="F553" s="13" t="str">
        <f>IFERROR(F155/SUM(F383,F514),"-")</f>
        <v>-</v>
      </c>
      <c r="G553" s="13" t="str">
        <f t="shared" ref="G553:K553" si="345">IFERROR(G155/SUM(G383,G514),"-")</f>
        <v>-</v>
      </c>
      <c r="H553" s="13" t="str">
        <f t="shared" si="345"/>
        <v>-</v>
      </c>
      <c r="I553" s="13">
        <f t="shared" si="345"/>
        <v>0.24133180798173928</v>
      </c>
      <c r="J553" s="13">
        <f t="shared" si="345"/>
        <v>0.2727268101378087</v>
      </c>
      <c r="K553" s="13">
        <f t="shared" si="345"/>
        <v>0.27793727435419074</v>
      </c>
    </row>
    <row r="554" spans="2:11" x14ac:dyDescent="0.35">
      <c r="B554" s="5" t="str">
        <f t="shared" si="304"/>
        <v>SPS2</v>
      </c>
      <c r="C554" s="5" t="s">
        <v>7</v>
      </c>
      <c r="D554" t="s">
        <v>293</v>
      </c>
      <c r="E554" s="5" t="s">
        <v>240</v>
      </c>
      <c r="F554" s="13" t="str">
        <f>IFERROR(F156/SUM(F384,F515),"-")</f>
        <v>-</v>
      </c>
      <c r="G554" s="13" t="str">
        <f t="shared" ref="G554:K554" si="346">IFERROR(G156/SUM(G384,G515),"-")</f>
        <v>-</v>
      </c>
      <c r="H554" s="13" t="str">
        <f t="shared" si="346"/>
        <v>-</v>
      </c>
      <c r="I554" s="13">
        <f t="shared" si="346"/>
        <v>0.24782082618765139</v>
      </c>
      <c r="J554" s="13">
        <f t="shared" si="346"/>
        <v>0.27759611954897451</v>
      </c>
      <c r="K554" s="13">
        <f t="shared" si="346"/>
        <v>0.31424770549745012</v>
      </c>
    </row>
    <row r="555" spans="2:11" x14ac:dyDescent="0.35">
      <c r="B555" s="5" t="str">
        <f t="shared" si="304"/>
        <v>SPS2</v>
      </c>
      <c r="C555" s="5" t="s">
        <v>7</v>
      </c>
      <c r="D555" t="s">
        <v>276</v>
      </c>
      <c r="E555" s="5" t="s">
        <v>240</v>
      </c>
      <c r="F555" s="13">
        <v>1</v>
      </c>
      <c r="G555" s="13">
        <v>1</v>
      </c>
      <c r="H555" s="13">
        <v>1</v>
      </c>
      <c r="I555" s="13">
        <v>1</v>
      </c>
      <c r="J555" s="13">
        <v>1</v>
      </c>
      <c r="K555" s="13">
        <v>1</v>
      </c>
    </row>
    <row r="556" spans="2:11" x14ac:dyDescent="0.35">
      <c r="B556" s="5" t="str">
        <f t="shared" si="304"/>
        <v>SPS2</v>
      </c>
      <c r="C556" s="5" t="s">
        <v>7</v>
      </c>
      <c r="D556" t="s">
        <v>277</v>
      </c>
      <c r="E556" s="5" t="s">
        <v>240</v>
      </c>
      <c r="F556" s="13">
        <v>1</v>
      </c>
      <c r="G556" s="13">
        <v>1</v>
      </c>
      <c r="H556" s="13">
        <v>1</v>
      </c>
      <c r="I556" s="13">
        <v>1</v>
      </c>
      <c r="J556" s="13">
        <v>1</v>
      </c>
      <c r="K556" s="13">
        <v>1</v>
      </c>
    </row>
    <row r="557" spans="2:11" x14ac:dyDescent="0.35">
      <c r="B557" s="5" t="str">
        <f t="shared" si="304"/>
        <v>SPS2</v>
      </c>
      <c r="C557" s="5" t="s">
        <v>7</v>
      </c>
      <c r="D557" t="s">
        <v>278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</row>
    <row r="558" spans="2:11" x14ac:dyDescent="0.35">
      <c r="B558" s="5" t="str">
        <f t="shared" si="304"/>
        <v>SPS2</v>
      </c>
      <c r="C558" s="5" t="s">
        <v>7</v>
      </c>
      <c r="D558" t="s">
        <v>279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</row>
    <row r="559" spans="2:11" x14ac:dyDescent="0.35">
      <c r="B559" s="5" t="str">
        <f t="shared" si="304"/>
        <v>SPS2</v>
      </c>
      <c r="C559" s="5" t="s">
        <v>7</v>
      </c>
      <c r="D559" t="s">
        <v>280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</row>
    <row r="560" spans="2:11" x14ac:dyDescent="0.35">
      <c r="B560" s="5" t="str">
        <f t="shared" si="304"/>
        <v>SPS2</v>
      </c>
      <c r="C560" s="5" t="s">
        <v>7</v>
      </c>
      <c r="D560" t="s">
        <v>281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</row>
    <row r="561" spans="2:11" x14ac:dyDescent="0.35">
      <c r="B561" s="5" t="str">
        <f t="shared" si="304"/>
        <v>SPS2</v>
      </c>
      <c r="C561" s="5" t="s">
        <v>7</v>
      </c>
      <c r="D561" t="s">
        <v>282</v>
      </c>
      <c r="E561" s="5" t="s">
        <v>240</v>
      </c>
      <c r="F561" s="13" t="str">
        <f>IFERROR(F166/F394,"-")</f>
        <v>-</v>
      </c>
      <c r="G561" s="13" t="str">
        <f t="shared" ref="G561:K561" si="347">IFERROR(G166/G394,"-")</f>
        <v>-</v>
      </c>
      <c r="H561" s="13" t="str">
        <f t="shared" si="347"/>
        <v>-</v>
      </c>
      <c r="I561" s="13" t="str">
        <f t="shared" si="347"/>
        <v>-</v>
      </c>
      <c r="J561" s="13">
        <f t="shared" si="347"/>
        <v>0.14999999999999986</v>
      </c>
      <c r="K561" s="13">
        <f t="shared" si="347"/>
        <v>0.15000000000000016</v>
      </c>
    </row>
    <row r="562" spans="2:11" x14ac:dyDescent="0.35">
      <c r="B562" s="5" t="str">
        <f t="shared" si="304"/>
        <v>SPS2</v>
      </c>
      <c r="C562" s="5" t="s">
        <v>7</v>
      </c>
      <c r="D562" t="s">
        <v>283</v>
      </c>
      <c r="E562" s="5" t="s">
        <v>240</v>
      </c>
      <c r="F562" s="13" t="str">
        <f>IFERROR(F168/SUM(F396,F437),"-")</f>
        <v>-</v>
      </c>
      <c r="G562" s="13" t="str">
        <f t="shared" ref="G562:K562" si="348">IFERROR(G168/SUM(G396,G437),"-")</f>
        <v>-</v>
      </c>
      <c r="H562" s="13" t="str">
        <f t="shared" si="348"/>
        <v>-</v>
      </c>
      <c r="I562" s="13" t="str">
        <f t="shared" si="348"/>
        <v>-</v>
      </c>
      <c r="J562" s="13">
        <f t="shared" si="348"/>
        <v>0.41999999999999971</v>
      </c>
      <c r="K562" s="13">
        <f t="shared" si="348"/>
        <v>0.41999999999999971</v>
      </c>
    </row>
    <row r="563" spans="2:11" x14ac:dyDescent="0.35">
      <c r="B563" s="5" t="str">
        <f t="shared" si="304"/>
        <v>SPS2</v>
      </c>
      <c r="C563" s="5" t="s">
        <v>7</v>
      </c>
      <c r="D563" t="s">
        <v>284</v>
      </c>
      <c r="E563" s="5" t="s">
        <v>240</v>
      </c>
      <c r="F563" s="13" t="str">
        <f>IFERROR(F169/SUM(F397,F517),"-")</f>
        <v>-</v>
      </c>
      <c r="G563" s="13" t="str">
        <f t="shared" ref="G563:K563" si="349">IFERROR(G169/SUM(G397,G517),"-")</f>
        <v>-</v>
      </c>
      <c r="H563" s="13" t="str">
        <f t="shared" si="349"/>
        <v>-</v>
      </c>
      <c r="I563" s="13" t="str">
        <f t="shared" si="349"/>
        <v>-</v>
      </c>
      <c r="J563" s="13">
        <f t="shared" si="349"/>
        <v>0.54999999999999982</v>
      </c>
      <c r="K563" s="13">
        <f t="shared" si="349"/>
        <v>0.59999999999999942</v>
      </c>
    </row>
    <row r="564" spans="2:11" x14ac:dyDescent="0.35">
      <c r="B564" s="5" t="str">
        <f t="shared" ref="B564:B627" si="350">B563</f>
        <v>SPS2</v>
      </c>
      <c r="C564" s="5" t="s">
        <v>7</v>
      </c>
      <c r="D564" t="s">
        <v>285</v>
      </c>
      <c r="E564" s="5" t="s">
        <v>240</v>
      </c>
      <c r="F564" s="13" t="str">
        <f>IFERROR(F170/SUM(F398,F518),"-")</f>
        <v>-</v>
      </c>
      <c r="G564" s="13" t="str">
        <f t="shared" ref="G564:K564" si="351">IFERROR(G170/SUM(G398,G518),"-")</f>
        <v>-</v>
      </c>
      <c r="H564" s="13" t="str">
        <f t="shared" si="351"/>
        <v>-</v>
      </c>
      <c r="I564" s="13">
        <f t="shared" si="351"/>
        <v>0.47499999999999981</v>
      </c>
      <c r="J564" s="13">
        <f t="shared" si="351"/>
        <v>0.53999999999999981</v>
      </c>
      <c r="K564" s="13">
        <f t="shared" si="351"/>
        <v>0.57499999999999951</v>
      </c>
    </row>
    <row r="565" spans="2:11" x14ac:dyDescent="0.35">
      <c r="B565" s="5" t="str">
        <f t="shared" si="350"/>
        <v>SPS2</v>
      </c>
      <c r="C565" s="5" t="s">
        <v>7</v>
      </c>
      <c r="D565" t="s">
        <v>286</v>
      </c>
      <c r="E565" s="5" t="s">
        <v>240</v>
      </c>
      <c r="F565" s="13">
        <f t="shared" ref="F565:K571" si="352">IFERROR(F172/F400,"-")</f>
        <v>0.69967644495902837</v>
      </c>
      <c r="G565" s="13">
        <f t="shared" si="352"/>
        <v>0.69884949812223307</v>
      </c>
      <c r="H565" s="13">
        <f t="shared" si="352"/>
        <v>0.69998630354304825</v>
      </c>
      <c r="I565" s="13">
        <f t="shared" si="352"/>
        <v>0.69994766832461919</v>
      </c>
      <c r="J565" s="13">
        <f t="shared" si="352"/>
        <v>0.69983741896909701</v>
      </c>
      <c r="K565" s="13">
        <f t="shared" si="352"/>
        <v>0.69980478280868386</v>
      </c>
    </row>
    <row r="566" spans="2:11" x14ac:dyDescent="0.35">
      <c r="B566" s="5" t="str">
        <f t="shared" si="350"/>
        <v>SPS2</v>
      </c>
      <c r="C566" s="5" t="s">
        <v>7</v>
      </c>
      <c r="D566" t="s">
        <v>287</v>
      </c>
      <c r="E566" s="5" t="s">
        <v>240</v>
      </c>
      <c r="F566" s="13">
        <f t="shared" si="352"/>
        <v>0.86294729805247783</v>
      </c>
      <c r="G566" s="13">
        <f t="shared" si="352"/>
        <v>0.86331495744024644</v>
      </c>
      <c r="H566" s="13">
        <f t="shared" si="352"/>
        <v>0.86693620769595114</v>
      </c>
      <c r="I566" s="13">
        <f t="shared" si="352"/>
        <v>0.86668434311169329</v>
      </c>
      <c r="J566" s="13">
        <f t="shared" si="352"/>
        <v>0.86703263635079475</v>
      </c>
      <c r="K566" s="13">
        <f t="shared" si="352"/>
        <v>0.8670372449785454</v>
      </c>
    </row>
    <row r="567" spans="2:11" x14ac:dyDescent="0.35">
      <c r="B567" s="5" t="str">
        <f t="shared" si="350"/>
        <v>SPS2</v>
      </c>
      <c r="C567" s="5" t="s">
        <v>7</v>
      </c>
      <c r="D567" t="s">
        <v>288</v>
      </c>
      <c r="E567" s="5" t="s">
        <v>240</v>
      </c>
      <c r="F567" s="13">
        <f t="shared" si="352"/>
        <v>0.89357812786844237</v>
      </c>
      <c r="G567" s="13">
        <f t="shared" si="352"/>
        <v>0.89409943249739332</v>
      </c>
      <c r="H567" s="13">
        <f t="shared" si="352"/>
        <v>0.89395891056300514</v>
      </c>
      <c r="I567" s="13">
        <f t="shared" si="352"/>
        <v>0.89388022715358983</v>
      </c>
      <c r="J567" s="13">
        <f t="shared" si="352"/>
        <v>0.89424987502672371</v>
      </c>
      <c r="K567" s="13">
        <f t="shared" si="352"/>
        <v>0.89426683573822519</v>
      </c>
    </row>
    <row r="568" spans="2:11" x14ac:dyDescent="0.35">
      <c r="B568" s="5" t="str">
        <f t="shared" si="350"/>
        <v>SPS2</v>
      </c>
      <c r="C568" s="5" t="s">
        <v>7</v>
      </c>
      <c r="D568" t="s">
        <v>289</v>
      </c>
      <c r="E568" s="5" t="s">
        <v>240</v>
      </c>
      <c r="F568" s="13">
        <f t="shared" si="352"/>
        <v>0.89706705777606188</v>
      </c>
      <c r="G568" s="13">
        <f t="shared" si="352"/>
        <v>0.89821369601198531</v>
      </c>
      <c r="H568" s="13">
        <f t="shared" si="352"/>
        <v>0.90328753673339179</v>
      </c>
      <c r="I568" s="13">
        <f t="shared" si="352"/>
        <v>0.90424974279858616</v>
      </c>
      <c r="J568" s="13">
        <f t="shared" si="352"/>
        <v>0.90426147664652345</v>
      </c>
      <c r="K568" s="13">
        <f t="shared" si="352"/>
        <v>0.90426549508253828</v>
      </c>
    </row>
    <row r="569" spans="2:11" x14ac:dyDescent="0.35">
      <c r="B569" s="5" t="str">
        <f t="shared" si="350"/>
        <v>SPS2</v>
      </c>
      <c r="C569" s="5" t="s">
        <v>7</v>
      </c>
      <c r="D569" t="s">
        <v>1855</v>
      </c>
      <c r="E569" s="5" t="s">
        <v>240</v>
      </c>
      <c r="F569" s="13">
        <f t="shared" si="352"/>
        <v>0.89705163802390298</v>
      </c>
      <c r="G569" s="13">
        <f t="shared" si="352"/>
        <v>0.89824604175390899</v>
      </c>
      <c r="H569" s="13">
        <f t="shared" si="352"/>
        <v>0.90334720118576894</v>
      </c>
      <c r="I569" s="13">
        <f t="shared" si="352"/>
        <v>0.90423202487649357</v>
      </c>
      <c r="J569" s="13">
        <f t="shared" si="352"/>
        <v>0.90421978905045852</v>
      </c>
      <c r="K569" s="13">
        <f t="shared" si="352"/>
        <v>0.9042065722874606</v>
      </c>
    </row>
    <row r="570" spans="2:11" x14ac:dyDescent="0.35">
      <c r="B570" s="5" t="str">
        <f t="shared" si="350"/>
        <v>SPS2</v>
      </c>
      <c r="C570" s="5" t="s">
        <v>7</v>
      </c>
      <c r="D570" t="s">
        <v>290</v>
      </c>
      <c r="E570" s="5" t="s">
        <v>240</v>
      </c>
      <c r="F570" s="13">
        <f t="shared" si="352"/>
        <v>0.89705534115323426</v>
      </c>
      <c r="G570" s="13">
        <f t="shared" si="352"/>
        <v>0.89824905985998704</v>
      </c>
      <c r="H570" s="13">
        <f t="shared" si="352"/>
        <v>0.90331564594066993</v>
      </c>
      <c r="I570" s="13">
        <f t="shared" si="352"/>
        <v>0.90419351894236599</v>
      </c>
      <c r="J570" s="13">
        <f t="shared" si="352"/>
        <v>0.90422238190031168</v>
      </c>
      <c r="K570" s="13">
        <f t="shared" si="352"/>
        <v>0.90420673425941156</v>
      </c>
    </row>
    <row r="571" spans="2:11" x14ac:dyDescent="0.35">
      <c r="B571" s="5" t="str">
        <f t="shared" si="350"/>
        <v>SPS2</v>
      </c>
      <c r="C571" s="5" t="s">
        <v>7</v>
      </c>
      <c r="D571" t="s">
        <v>291</v>
      </c>
      <c r="E571" s="5" t="s">
        <v>240</v>
      </c>
      <c r="F571" s="13">
        <f t="shared" si="352"/>
        <v>0.8971006445254317</v>
      </c>
      <c r="G571" s="13">
        <f t="shared" si="352"/>
        <v>0.89828698804197904</v>
      </c>
      <c r="H571" s="13">
        <f t="shared" si="352"/>
        <v>0.90329207589528648</v>
      </c>
      <c r="I571" s="13">
        <f t="shared" si="352"/>
        <v>0.90423976114095839</v>
      </c>
      <c r="J571" s="13">
        <f t="shared" si="352"/>
        <v>0.90423337848099294</v>
      </c>
      <c r="K571" s="13">
        <f t="shared" si="352"/>
        <v>0.9042229559838818</v>
      </c>
    </row>
    <row r="572" spans="2:11" x14ac:dyDescent="0.35">
      <c r="B572" s="9" t="str">
        <f t="shared" si="350"/>
        <v>SPS2</v>
      </c>
      <c r="C572" s="9" t="s">
        <v>7</v>
      </c>
      <c r="D572" s="2" t="s">
        <v>296</v>
      </c>
      <c r="E572" s="5" t="s">
        <v>240</v>
      </c>
      <c r="F572" t="s">
        <v>292</v>
      </c>
      <c r="G572" t="s">
        <v>292</v>
      </c>
      <c r="H572" t="s">
        <v>292</v>
      </c>
      <c r="I572" t="s">
        <v>292</v>
      </c>
      <c r="J572" t="s">
        <v>292</v>
      </c>
      <c r="K572" t="s">
        <v>292</v>
      </c>
    </row>
    <row r="573" spans="2:11" x14ac:dyDescent="0.35">
      <c r="B573" s="5" t="str">
        <f t="shared" si="350"/>
        <v>SPS2</v>
      </c>
      <c r="C573" s="5" t="s">
        <v>7</v>
      </c>
      <c r="D573" t="s">
        <v>297</v>
      </c>
      <c r="E573" s="5" t="s">
        <v>240</v>
      </c>
      <c r="F573" s="4">
        <f>IFERROR(F210/F440,"-")</f>
        <v>0.59933280898368568</v>
      </c>
      <c r="G573" s="4">
        <f t="shared" ref="G573:K573" si="353">IFERROR(G210/G440,"-")</f>
        <v>0.63923143035512331</v>
      </c>
      <c r="H573" s="4">
        <f t="shared" si="353"/>
        <v>0.48048586136851801</v>
      </c>
      <c r="I573" s="4">
        <f t="shared" si="353"/>
        <v>0.38083293048419919</v>
      </c>
      <c r="J573" s="4">
        <f t="shared" si="353"/>
        <v>0.38083293048419908</v>
      </c>
      <c r="K573" s="4">
        <f t="shared" si="353"/>
        <v>0.38083293048419925</v>
      </c>
    </row>
    <row r="574" spans="2:11" x14ac:dyDescent="0.35">
      <c r="B574" s="5" t="str">
        <f t="shared" si="350"/>
        <v>SPS2</v>
      </c>
      <c r="C574" s="5" t="s">
        <v>7</v>
      </c>
      <c r="D574" t="s">
        <v>298</v>
      </c>
      <c r="E574" s="5" t="s">
        <v>240</v>
      </c>
      <c r="F574" s="4">
        <f>IFERROR(F216/F446,"-")</f>
        <v>1</v>
      </c>
      <c r="G574" s="4">
        <f t="shared" ref="G574:K574" si="354">IFERROR(G216/G446,"-")</f>
        <v>1</v>
      </c>
      <c r="H574" s="4">
        <f t="shared" si="354"/>
        <v>1</v>
      </c>
      <c r="I574" s="4">
        <f t="shared" si="354"/>
        <v>1</v>
      </c>
      <c r="J574" s="4" t="str">
        <f t="shared" si="354"/>
        <v>-</v>
      </c>
      <c r="K574" s="4" t="str">
        <f t="shared" si="354"/>
        <v>-</v>
      </c>
    </row>
    <row r="575" spans="2:11" x14ac:dyDescent="0.35">
      <c r="B575" s="5" t="str">
        <f t="shared" si="350"/>
        <v>SPS2</v>
      </c>
      <c r="C575" s="5" t="s">
        <v>7</v>
      </c>
      <c r="D575" t="s">
        <v>299</v>
      </c>
      <c r="E575" s="5" t="s">
        <v>240</v>
      </c>
      <c r="F575" s="4">
        <f>IFERROR(F218/F448,"-")</f>
        <v>0.85445501111132571</v>
      </c>
      <c r="G575" s="4">
        <f t="shared" ref="G575:K575" si="355">IFERROR(G218/G448,"-")</f>
        <v>0.8544550111113256</v>
      </c>
      <c r="H575" s="4">
        <f t="shared" si="355"/>
        <v>0.85445501111132394</v>
      </c>
      <c r="I575" s="4">
        <f t="shared" si="355"/>
        <v>0.85445501111132505</v>
      </c>
      <c r="J575" s="4">
        <f t="shared" si="355"/>
        <v>0.85445501111132538</v>
      </c>
      <c r="K575" s="4">
        <f t="shared" si="355"/>
        <v>0.85445501111132449</v>
      </c>
    </row>
    <row r="576" spans="2:11" x14ac:dyDescent="0.35">
      <c r="B576" s="5" t="str">
        <f t="shared" si="350"/>
        <v>SPS2</v>
      </c>
      <c r="C576" s="5" t="s">
        <v>7</v>
      </c>
      <c r="D576" t="s">
        <v>300</v>
      </c>
      <c r="E576" s="5" t="s">
        <v>240</v>
      </c>
      <c r="F576" s="4">
        <f>IFERROR(F224/F454,"-")</f>
        <v>0.7</v>
      </c>
      <c r="G576" s="4">
        <f t="shared" ref="G576:K576" si="356">IFERROR(G224/G454,"-")</f>
        <v>0.69999999999999929</v>
      </c>
      <c r="H576" s="4">
        <f t="shared" si="356"/>
        <v>0.7000000000000004</v>
      </c>
      <c r="I576" s="4">
        <f t="shared" si="356"/>
        <v>0.70000000000000051</v>
      </c>
      <c r="J576" s="4">
        <f t="shared" si="356"/>
        <v>0.69999999999999973</v>
      </c>
      <c r="K576" s="4">
        <f t="shared" si="356"/>
        <v>0.69999999999999984</v>
      </c>
    </row>
    <row r="577" spans="2:11" x14ac:dyDescent="0.35">
      <c r="B577" s="5" t="str">
        <f t="shared" si="350"/>
        <v>SPS2</v>
      </c>
      <c r="C577" s="5" t="s">
        <v>7</v>
      </c>
      <c r="D577" t="s">
        <v>301</v>
      </c>
      <c r="E577" s="5" t="s">
        <v>240</v>
      </c>
      <c r="F577" t="str">
        <f>IFERROR(F226/F456,"-")</f>
        <v>-</v>
      </c>
      <c r="G577" t="str">
        <f t="shared" ref="G577:K577" si="357">IFERROR(G226/G456,"-")</f>
        <v>-</v>
      </c>
      <c r="H577" t="str">
        <f t="shared" si="357"/>
        <v>-</v>
      </c>
      <c r="I577">
        <f t="shared" si="357"/>
        <v>0.5</v>
      </c>
      <c r="J577">
        <f t="shared" si="357"/>
        <v>0.50000000000000044</v>
      </c>
      <c r="K577">
        <f t="shared" si="357"/>
        <v>0.49999999999999978</v>
      </c>
    </row>
    <row r="578" spans="2:11" x14ac:dyDescent="0.35">
      <c r="B578" s="5" t="str">
        <f t="shared" si="350"/>
        <v>SPS2</v>
      </c>
      <c r="C578" s="5" t="s">
        <v>7</v>
      </c>
      <c r="D578" t="s">
        <v>302</v>
      </c>
      <c r="E578" s="5" t="s">
        <v>240</v>
      </c>
      <c r="F578" t="str">
        <f>IFERROR(F228/F458,"-")</f>
        <v>-</v>
      </c>
      <c r="G578" t="str">
        <f t="shared" ref="G578:K578" si="358">IFERROR(G228/G458,"-")</f>
        <v>-</v>
      </c>
      <c r="H578" t="str">
        <f t="shared" si="358"/>
        <v>-</v>
      </c>
      <c r="I578" t="str">
        <f t="shared" si="358"/>
        <v>-</v>
      </c>
      <c r="J578">
        <f t="shared" si="358"/>
        <v>0.8500000000000002</v>
      </c>
      <c r="K578">
        <f t="shared" si="358"/>
        <v>0.84999999999999976</v>
      </c>
    </row>
    <row r="579" spans="2:11" x14ac:dyDescent="0.35">
      <c r="B579" s="5" t="str">
        <f t="shared" si="350"/>
        <v>SPS2</v>
      </c>
      <c r="C579" s="5" t="s">
        <v>7</v>
      </c>
      <c r="D579" t="s">
        <v>720</v>
      </c>
      <c r="E579" s="5" t="s">
        <v>240</v>
      </c>
      <c r="F579" s="4" t="str">
        <f>IFERROR(F230/F460,"-")</f>
        <v>-</v>
      </c>
      <c r="G579" s="4">
        <f t="shared" ref="G579:K579" si="359">IFERROR(G230/G460,"-")</f>
        <v>3.0000000000000009</v>
      </c>
      <c r="H579" s="4">
        <f t="shared" si="359"/>
        <v>3.0000000000000004</v>
      </c>
      <c r="I579" s="4">
        <f t="shared" si="359"/>
        <v>3.0000000000000036</v>
      </c>
      <c r="J579" s="4">
        <f t="shared" si="359"/>
        <v>3.0000000000000018</v>
      </c>
      <c r="K579" s="4">
        <f t="shared" si="359"/>
        <v>2.9999999999999996</v>
      </c>
    </row>
    <row r="580" spans="2:11" x14ac:dyDescent="0.35">
      <c r="B580" s="9" t="str">
        <f t="shared" si="350"/>
        <v>SPS2</v>
      </c>
      <c r="C580" s="9" t="s">
        <v>7</v>
      </c>
      <c r="D580" s="2" t="s">
        <v>303</v>
      </c>
      <c r="E580" s="9" t="s">
        <v>8</v>
      </c>
      <c r="F580" s="3">
        <f>[1]Other_transformation!B$5</f>
        <v>0.13803200651567352</v>
      </c>
      <c r="G580" s="3">
        <f>[1]Other_transformation!C$5</f>
        <v>1.2036142113716122</v>
      </c>
      <c r="H580" s="3">
        <f>[1]Other_transformation!D$5</f>
        <v>1.2029202954980946</v>
      </c>
      <c r="I580" s="3">
        <f>[1]Other_transformation!E$5</f>
        <v>0.95412765047307246</v>
      </c>
      <c r="J580" s="3">
        <f>[1]Other_transformation!F$5</f>
        <v>2.3551400658203501</v>
      </c>
      <c r="K580" s="3">
        <f>[1]Other_transformation!G$5</f>
        <v>5.2561852966784244</v>
      </c>
    </row>
    <row r="581" spans="2:11" x14ac:dyDescent="0.35">
      <c r="B581" s="5" t="str">
        <f t="shared" si="350"/>
        <v>SPS2</v>
      </c>
      <c r="C581" s="5" t="s">
        <v>7</v>
      </c>
      <c r="D581" t="s">
        <v>903</v>
      </c>
      <c r="E581" s="5" t="s">
        <v>8</v>
      </c>
      <c r="F581" s="1">
        <f>F580</f>
        <v>0.13803200651567352</v>
      </c>
      <c r="G581" s="1">
        <f t="shared" ref="G581:K581" si="360">G580</f>
        <v>1.2036142113716122</v>
      </c>
      <c r="H581" s="1">
        <f t="shared" si="360"/>
        <v>1.2029202954980946</v>
      </c>
      <c r="I581" s="1">
        <f t="shared" si="360"/>
        <v>0.95412765047307246</v>
      </c>
      <c r="J581" s="1">
        <f t="shared" si="360"/>
        <v>2.3551400658203501</v>
      </c>
      <c r="K581" s="1">
        <f t="shared" si="360"/>
        <v>5.2561852966784244</v>
      </c>
    </row>
    <row r="582" spans="2:11" x14ac:dyDescent="0.35">
      <c r="B582" s="5" t="str">
        <f t="shared" si="350"/>
        <v>SPS2</v>
      </c>
      <c r="C582" s="5" t="s">
        <v>7</v>
      </c>
      <c r="D582" t="s">
        <v>304</v>
      </c>
      <c r="E582" s="5" t="s">
        <v>8</v>
      </c>
      <c r="F582" s="1" cm="1">
        <f t="array" ref="F582">SUMPRODUCT(("CT_CWODBDS"=[1]OUT_SyntheticFuels!$C$4:$C$1000)*1,("BDS"=[1]OUT_SyntheticFuels!$A$4:$A$1000)*1,("Var_Fout"=[1]OUT_SyntheticFuels!$B$4:$B$1000)*1,[1]OUT_SyntheticFuels!E$4:E$1000)</f>
        <v>0.13803200651567352</v>
      </c>
      <c r="G582" s="1" cm="1">
        <f t="array" ref="G582">SUMPRODUCT(("CT_CWODBDS"=[1]OUT_SyntheticFuels!$C$4:$C$1000)*1,("BDS"=[1]OUT_SyntheticFuels!$A$4:$A$1000)*1,("Var_Fout"=[1]OUT_SyntheticFuels!$B$4:$B$1000)*1,[1]OUT_SyntheticFuels!F$4:F$1000)</f>
        <v>1.2036142113716122</v>
      </c>
      <c r="H582" s="1" cm="1">
        <f t="array" ref="H582">SUMPRODUCT(("CT_CWODBDS"=[1]OUT_SyntheticFuels!$C$4:$C$1000)*1,("BDS"=[1]OUT_SyntheticFuels!$A$4:$A$1000)*1,("Var_Fout"=[1]OUT_SyntheticFuels!$B$4:$B$1000)*1,[1]OUT_SyntheticFuels!G$4:G$1000)</f>
        <v>1.2029202954980946</v>
      </c>
      <c r="I582" s="1" cm="1">
        <f t="array" ref="I582">SUMPRODUCT(("CT_CWODBDS"=[1]OUT_SyntheticFuels!$C$4:$C$1000)*1,("BDS"=[1]OUT_SyntheticFuels!$A$4:$A$1000)*1,("Var_Fout"=[1]OUT_SyntheticFuels!$B$4:$B$1000)*1,[1]OUT_SyntheticFuels!H$4:H$1000)</f>
        <v>0.95412765047307246</v>
      </c>
      <c r="J582" s="1" cm="1">
        <f t="array" ref="J582">SUMPRODUCT(("CT_CWODBDS"=[1]OUT_SyntheticFuels!$C$4:$C$1000)*1,("BDS"=[1]OUT_SyntheticFuels!$A$4:$A$1000)*1,("Var_Fout"=[1]OUT_SyntheticFuels!$B$4:$B$1000)*1,[1]OUT_SyntheticFuels!I$4:I$1000)</f>
        <v>2.3530643485739993</v>
      </c>
      <c r="K582" s="1" cm="1">
        <f t="array" ref="K582">SUMPRODUCT(("CT_CWODBDS"=[1]OUT_SyntheticFuels!$C$4:$C$1000)*1,("BDS"=[1]OUT_SyntheticFuels!$A$4:$A$1000)*1,("Var_Fout"=[1]OUT_SyntheticFuels!$B$4:$B$1000)*1,[1]OUT_SyntheticFuels!J$4:J$1000)</f>
        <v>1.8745478381755225</v>
      </c>
    </row>
    <row r="583" spans="2:11" x14ac:dyDescent="0.35">
      <c r="B583" s="5" t="str">
        <f t="shared" si="350"/>
        <v>SPS2</v>
      </c>
      <c r="C583" s="5" t="s">
        <v>7</v>
      </c>
      <c r="D583" t="s">
        <v>305</v>
      </c>
      <c r="E583" s="5" t="s">
        <v>8</v>
      </c>
      <c r="F583" s="1" cm="1">
        <f t="array" ref="F583">SUMPRODUCT(("CT_CWODBDSCCS"=[1]OUT_SyntheticFuels!$C$4:$C$1000)*1,("BDS"=[1]OUT_SyntheticFuels!$A$4:$A$1000)*1,("Var_Fout"=[1]OUT_SyntheticFuels!$B$4:$B$1000)*1,[1]OUT_SyntheticFuels!E$4:E$1000)</f>
        <v>0</v>
      </c>
      <c r="G583" s="1" cm="1">
        <f t="array" ref="G583">SUMPRODUCT(("CT_CWODBDSCCS"=[1]OUT_SyntheticFuels!$C$4:$C$1000)*1,("BDS"=[1]OUT_SyntheticFuels!$A$4:$A$1000)*1,("Var_Fout"=[1]OUT_SyntheticFuels!$B$4:$B$1000)*1,[1]OUT_SyntheticFuels!F$4:F$1000)</f>
        <v>0</v>
      </c>
      <c r="H583" s="1" cm="1">
        <f t="array" ref="H583">SUMPRODUCT(("CT_CWODBDSCCS"=[1]OUT_SyntheticFuels!$C$4:$C$1000)*1,("BDS"=[1]OUT_SyntheticFuels!$A$4:$A$1000)*1,("Var_Fout"=[1]OUT_SyntheticFuels!$B$4:$B$1000)*1,[1]OUT_SyntheticFuels!G$4:G$1000)</f>
        <v>0</v>
      </c>
      <c r="I583" s="1" cm="1">
        <f t="array" ref="I583">SUMPRODUCT(("CT_CWODBDSCCS"=[1]OUT_SyntheticFuels!$C$4:$C$1000)*1,("BDS"=[1]OUT_SyntheticFuels!$A$4:$A$1000)*1,("Var_Fout"=[1]OUT_SyntheticFuels!$B$4:$B$1000)*1,[1]OUT_SyntheticFuels!H$4:H$1000)</f>
        <v>0</v>
      </c>
      <c r="J583" s="1" cm="1">
        <f t="array" ref="J583">SUMPRODUCT(("CT_CWODBDSCCS"=[1]OUT_SyntheticFuels!$C$4:$C$1000)*1,("BDS"=[1]OUT_SyntheticFuels!$A$4:$A$1000)*1,("Var_Fout"=[1]OUT_SyntheticFuels!$B$4:$B$1000)*1,[1]OUT_SyntheticFuels!I$4:I$1000)</f>
        <v>2.0757172463506668E-3</v>
      </c>
      <c r="K583" s="1" cm="1">
        <f t="array" ref="K583">SUMPRODUCT(("CT_CWODBDSCCS"=[1]OUT_SyntheticFuels!$C$4:$C$1000)*1,("BDS"=[1]OUT_SyntheticFuels!$A$4:$A$1000)*1,("Var_Fout"=[1]OUT_SyntheticFuels!$B$4:$B$1000)*1,[1]OUT_SyntheticFuels!J$4:J$1000)</f>
        <v>3.3816374585029019</v>
      </c>
    </row>
    <row r="584" spans="2:11" x14ac:dyDescent="0.35">
      <c r="B584" s="9" t="str">
        <f t="shared" si="350"/>
        <v>SPS2</v>
      </c>
      <c r="C584" s="9" t="s">
        <v>7</v>
      </c>
      <c r="D584" s="2" t="s">
        <v>370</v>
      </c>
      <c r="E584" s="9" t="s">
        <v>8</v>
      </c>
      <c r="F584" s="3">
        <f>F585</f>
        <v>5.3832482541112607E-2</v>
      </c>
      <c r="G584" s="3">
        <f t="shared" ref="G584:K584" si="361">G585</f>
        <v>0.4694095424349275</v>
      </c>
      <c r="H584" s="3">
        <f t="shared" si="361"/>
        <v>0.46913891524425599</v>
      </c>
      <c r="I584" s="3">
        <f t="shared" si="361"/>
        <v>0.37210978368449743</v>
      </c>
      <c r="J584" s="3">
        <f t="shared" si="361"/>
        <v>0.9185046256699354</v>
      </c>
      <c r="K584" s="3">
        <f t="shared" si="361"/>
        <v>2.0499122657045818</v>
      </c>
    </row>
    <row r="585" spans="2:11" x14ac:dyDescent="0.35">
      <c r="B585" s="5" t="str">
        <f t="shared" si="350"/>
        <v>SPS2</v>
      </c>
      <c r="C585" s="5" t="s">
        <v>7</v>
      </c>
      <c r="D585" t="s">
        <v>904</v>
      </c>
      <c r="E585" s="5" t="s">
        <v>8</v>
      </c>
      <c r="F585" s="1">
        <f>SUM(F586:F587)</f>
        <v>5.3832482541112607E-2</v>
      </c>
      <c r="G585" s="1">
        <f t="shared" ref="G585:K585" si="362">SUM(G586:G587)</f>
        <v>0.4694095424349275</v>
      </c>
      <c r="H585" s="1">
        <f t="shared" si="362"/>
        <v>0.46913891524425599</v>
      </c>
      <c r="I585" s="1">
        <f t="shared" si="362"/>
        <v>0.37210978368449743</v>
      </c>
      <c r="J585" s="1">
        <f t="shared" si="362"/>
        <v>0.9185046256699354</v>
      </c>
      <c r="K585" s="1">
        <f t="shared" si="362"/>
        <v>2.0499122657045818</v>
      </c>
    </row>
    <row r="586" spans="2:11" x14ac:dyDescent="0.35">
      <c r="B586" s="5" t="str">
        <f t="shared" si="350"/>
        <v>SPS2</v>
      </c>
      <c r="C586" s="5" t="s">
        <v>7</v>
      </c>
      <c r="D586" t="s">
        <v>307</v>
      </c>
      <c r="E586" s="5" t="s">
        <v>8</v>
      </c>
      <c r="F586" s="1" cm="1">
        <f t="array" ref="F586">SUMPRODUCT(("CT_CWODBDS"=[1]OUT_SyntheticFuels!$C$4:$C$1000)*1,("LTH"=[1]OUT_SyntheticFuels!$A$4:$A$1000)*1,("Var_Fout"=[1]OUT_SyntheticFuels!$B$4:$B$1000)*1,[1]OUT_SyntheticFuels!E$4:E$1000)</f>
        <v>5.3832482541112607E-2</v>
      </c>
      <c r="G586" s="1" cm="1">
        <f t="array" ref="G586">SUMPRODUCT(("CT_CWODBDS"=[1]OUT_SyntheticFuels!$C$4:$C$1000)*1,("LTH"=[1]OUT_SyntheticFuels!$A$4:$A$1000)*1,("Var_Fout"=[1]OUT_SyntheticFuels!$B$4:$B$1000)*1,[1]OUT_SyntheticFuels!F$4:F$1000)</f>
        <v>0.4694095424349275</v>
      </c>
      <c r="H586" s="1" cm="1">
        <f t="array" ref="H586">SUMPRODUCT(("CT_CWODBDS"=[1]OUT_SyntheticFuels!$C$4:$C$1000)*1,("LTH"=[1]OUT_SyntheticFuels!$A$4:$A$1000)*1,("Var_Fout"=[1]OUT_SyntheticFuels!$B$4:$B$1000)*1,[1]OUT_SyntheticFuels!G$4:G$1000)</f>
        <v>0.46913891524425599</v>
      </c>
      <c r="I586" s="1" cm="1">
        <f t="array" ref="I586">SUMPRODUCT(("CT_CWODBDS"=[1]OUT_SyntheticFuels!$C$4:$C$1000)*1,("LTH"=[1]OUT_SyntheticFuels!$A$4:$A$1000)*1,("Var_Fout"=[1]OUT_SyntheticFuels!$B$4:$B$1000)*1,[1]OUT_SyntheticFuels!H$4:H$1000)</f>
        <v>0.37210978368449743</v>
      </c>
      <c r="J586" s="1" cm="1">
        <f t="array" ref="J586">SUMPRODUCT(("CT_CWODBDS"=[1]OUT_SyntheticFuels!$C$4:$C$1000)*1,("LTH"=[1]OUT_SyntheticFuels!$A$4:$A$1000)*1,("Var_Fout"=[1]OUT_SyntheticFuels!$B$4:$B$1000)*1,[1]OUT_SyntheticFuels!I$4:I$1000)</f>
        <v>0.91769509594385867</v>
      </c>
      <c r="K586" s="1" cm="1">
        <f t="array" ref="K586">SUMPRODUCT(("CT_CWODBDS"=[1]OUT_SyntheticFuels!$C$4:$C$1000)*1,("LTH"=[1]OUT_SyntheticFuels!$A$4:$A$1000)*1,("Var_Fout"=[1]OUT_SyntheticFuels!$B$4:$B$1000)*1,[1]OUT_SyntheticFuels!J$4:J$1000)</f>
        <v>0.73107365688845227</v>
      </c>
    </row>
    <row r="587" spans="2:11" x14ac:dyDescent="0.35">
      <c r="B587" s="5" t="str">
        <f t="shared" si="350"/>
        <v>SPS2</v>
      </c>
      <c r="C587" s="5" t="s">
        <v>7</v>
      </c>
      <c r="D587" t="s">
        <v>308</v>
      </c>
      <c r="E587" s="5" t="s">
        <v>8</v>
      </c>
      <c r="F587" s="1" cm="1">
        <f t="array" ref="F587">SUMPRODUCT(("CT_CWODBDSCCS"=[1]OUT_SyntheticFuels!$C$4:$C$1000)*1,("LTH"=[1]OUT_SyntheticFuels!$A$4:$A$1000)*1,("Var_Fout"=[1]OUT_SyntheticFuels!$B$4:$B$1000)*1,[1]OUT_SyntheticFuels!E$4:E$1000)</f>
        <v>0</v>
      </c>
      <c r="G587" s="1" cm="1">
        <f t="array" ref="G587">SUMPRODUCT(("CT_CWODBDSCCS"=[1]OUT_SyntheticFuels!$C$4:$C$1000)*1,("LTH"=[1]OUT_SyntheticFuels!$A$4:$A$1000)*1,("Var_Fout"=[1]OUT_SyntheticFuels!$B$4:$B$1000)*1,[1]OUT_SyntheticFuels!F$4:F$1000)</f>
        <v>0</v>
      </c>
      <c r="H587" s="1" cm="1">
        <f t="array" ref="H587">SUMPRODUCT(("CT_CWODBDSCCS"=[1]OUT_SyntheticFuels!$C$4:$C$1000)*1,("LTH"=[1]OUT_SyntheticFuels!$A$4:$A$1000)*1,("Var_Fout"=[1]OUT_SyntheticFuels!$B$4:$B$1000)*1,[1]OUT_SyntheticFuels!G$4:G$1000)</f>
        <v>0</v>
      </c>
      <c r="I587" s="1" cm="1">
        <f t="array" ref="I587">SUMPRODUCT(("CT_CWODBDSCCS"=[1]OUT_SyntheticFuels!$C$4:$C$1000)*1,("LTH"=[1]OUT_SyntheticFuels!$A$4:$A$1000)*1,("Var_Fout"=[1]OUT_SyntheticFuels!$B$4:$B$1000)*1,[1]OUT_SyntheticFuels!H$4:H$1000)</f>
        <v>0</v>
      </c>
      <c r="J587" s="1" cm="1">
        <f t="array" ref="J587">SUMPRODUCT(("CT_CWODBDSCCS"=[1]OUT_SyntheticFuels!$C$4:$C$1000)*1,("LTH"=[1]OUT_SyntheticFuels!$A$4:$A$1000)*1,("Var_Fout"=[1]OUT_SyntheticFuels!$B$4:$B$1000)*1,[1]OUT_SyntheticFuels!I$4:I$1000)</f>
        <v>8.0952972607675863E-4</v>
      </c>
      <c r="K587" s="1" cm="1">
        <f t="array" ref="K587">SUMPRODUCT(("CT_CWODBDSCCS"=[1]OUT_SyntheticFuels!$C$4:$C$1000)*1,("LTH"=[1]OUT_SyntheticFuels!$A$4:$A$1000)*1,("Var_Fout"=[1]OUT_SyntheticFuels!$B$4:$B$1000)*1,[1]OUT_SyntheticFuels!J$4:J$1000)</f>
        <v>1.3188386088161297</v>
      </c>
    </row>
    <row r="588" spans="2:11" x14ac:dyDescent="0.35">
      <c r="B588" s="9" t="str">
        <f t="shared" si="350"/>
        <v>SPS2</v>
      </c>
      <c r="C588" s="9" t="s">
        <v>7</v>
      </c>
      <c r="D588" s="2" t="s">
        <v>373</v>
      </c>
      <c r="E588" s="9" t="s">
        <v>8</v>
      </c>
      <c r="F588" s="3">
        <f>F589+F592</f>
        <v>0.40291542701925059</v>
      </c>
      <c r="G588" s="3">
        <f t="shared" ref="G588:K588" si="363">G589+G592</f>
        <v>3.5133498829937326</v>
      </c>
      <c r="H588" s="3">
        <f t="shared" si="363"/>
        <v>3.5113243425589356</v>
      </c>
      <c r="I588" s="3">
        <f t="shared" si="363"/>
        <v>2.7850986117308971</v>
      </c>
      <c r="J588" s="3">
        <f t="shared" si="363"/>
        <v>6.8747775055712737</v>
      </c>
      <c r="K588" s="3">
        <f t="shared" si="363"/>
        <v>15.544253855317992</v>
      </c>
    </row>
    <row r="589" spans="2:11" x14ac:dyDescent="0.35">
      <c r="B589" s="5" t="str">
        <f t="shared" si="350"/>
        <v>SPS2</v>
      </c>
      <c r="C589" s="5" t="s">
        <v>7</v>
      </c>
      <c r="D589" t="s">
        <v>905</v>
      </c>
      <c r="E589" s="5" t="s">
        <v>8</v>
      </c>
      <c r="F589" s="1">
        <f>SUM(F590:F591)</f>
        <v>0.39332220256641126</v>
      </c>
      <c r="G589" s="1">
        <f t="shared" ref="G589:K589" si="364">SUM(G590:G591)</f>
        <v>3.4296986953034057</v>
      </c>
      <c r="H589" s="1">
        <f t="shared" si="364"/>
        <v>3.4277213820218182</v>
      </c>
      <c r="I589" s="1">
        <f t="shared" si="364"/>
        <v>2.7187867400230186</v>
      </c>
      <c r="J589" s="1">
        <f t="shared" si="364"/>
        <v>6.7109716175550842</v>
      </c>
      <c r="K589" s="1">
        <f t="shared" si="364"/>
        <v>14.977500002885169</v>
      </c>
    </row>
    <row r="590" spans="2:11" x14ac:dyDescent="0.35">
      <c r="B590" s="5" t="str">
        <f t="shared" si="350"/>
        <v>SPS2</v>
      </c>
      <c r="C590" s="5" t="s">
        <v>7</v>
      </c>
      <c r="D590" t="s">
        <v>325</v>
      </c>
      <c r="E590" s="5" t="s">
        <v>8</v>
      </c>
      <c r="F590" s="1" cm="1">
        <f t="array" ref="F590">SUMPRODUCT(("CT_CWODBDS"=[1]OUT_SyntheticFuels!$C$4:$C$1000)*1,("CWOD"=[1]OUT_SyntheticFuels!$A$4:$A$1000)*1,("Var_Fin"=[1]OUT_SyntheticFuels!$B$4:$B$1000)*1,[1]OUT_SyntheticFuels!E$4:E$1000)</f>
        <v>0.39332220256641126</v>
      </c>
      <c r="G590" s="1" cm="1">
        <f t="array" ref="G590">SUMPRODUCT(("CT_CWODBDS"=[1]OUT_SyntheticFuels!$C$4:$C$1000)*1,("CWOD"=[1]OUT_SyntheticFuels!$A$4:$A$1000)*1,("Var_Fin"=[1]OUT_SyntheticFuels!$B$4:$B$1000)*1,[1]OUT_SyntheticFuels!F$4:F$1000)</f>
        <v>3.4296986953034057</v>
      </c>
      <c r="H590" s="1" cm="1">
        <f t="array" ref="H590">SUMPRODUCT(("CT_CWODBDS"=[1]OUT_SyntheticFuels!$C$4:$C$1000)*1,("CWOD"=[1]OUT_SyntheticFuels!$A$4:$A$1000)*1,("Var_Fin"=[1]OUT_SyntheticFuels!$B$4:$B$1000)*1,[1]OUT_SyntheticFuels!G$4:G$1000)</f>
        <v>3.4277213820218182</v>
      </c>
      <c r="I590" s="1" cm="1">
        <f t="array" ref="I590">SUMPRODUCT(("CT_CWODBDS"=[1]OUT_SyntheticFuels!$C$4:$C$1000)*1,("CWOD"=[1]OUT_SyntheticFuels!$A$4:$A$1000)*1,("Var_Fin"=[1]OUT_SyntheticFuels!$B$4:$B$1000)*1,[1]OUT_SyntheticFuels!H$4:H$1000)</f>
        <v>2.7187867400230186</v>
      </c>
      <c r="J590" s="1" cm="1">
        <f t="array" ref="J590">SUMPRODUCT(("CT_CWODBDS"=[1]OUT_SyntheticFuels!$C$4:$C$1000)*1,("CWOD"=[1]OUT_SyntheticFuels!$A$4:$A$1000)*1,("Var_Fin"=[1]OUT_SyntheticFuels!$B$4:$B$1000)*1,[1]OUT_SyntheticFuels!I$4:I$1000)</f>
        <v>6.7050568612616077</v>
      </c>
      <c r="K590" s="1" cm="1">
        <f t="array" ref="K590">SUMPRODUCT(("CT_CWODBDS"=[1]OUT_SyntheticFuels!$C$4:$C$1000)*1,("CWOD"=[1]OUT_SyntheticFuels!$A$4:$A$1000)*1,("Var_Fin"=[1]OUT_SyntheticFuels!$B$4:$B$1000)*1,[1]OUT_SyntheticFuels!J$4:J$1000)</f>
        <v>5.3415240648811499</v>
      </c>
    </row>
    <row r="591" spans="2:11" x14ac:dyDescent="0.35">
      <c r="B591" s="5" t="str">
        <f t="shared" si="350"/>
        <v>SPS2</v>
      </c>
      <c r="C591" s="5" t="s">
        <v>7</v>
      </c>
      <c r="D591" t="s">
        <v>326</v>
      </c>
      <c r="E591" s="5" t="s">
        <v>8</v>
      </c>
      <c r="F591" s="1" cm="1">
        <f t="array" ref="F591">SUMPRODUCT(("CT_CWODBDSCCS"=[1]OUT_SyntheticFuels!$C$4:$C$1000)*1,("CWOD"=[1]OUT_SyntheticFuels!$A$4:$A$1000)*1,("Var_Fin"=[1]OUT_SyntheticFuels!$B$4:$B$1000)*1,[1]OUT_SyntheticFuels!E$4:E$1000)</f>
        <v>0</v>
      </c>
      <c r="G591" s="1" cm="1">
        <f t="array" ref="G591">SUMPRODUCT(("CT_CWODBDSCCS"=[1]OUT_SyntheticFuels!$C$4:$C$1000)*1,("CWOD"=[1]OUT_SyntheticFuels!$A$4:$A$1000)*1,("Var_Fin"=[1]OUT_SyntheticFuels!$B$4:$B$1000)*1,[1]OUT_SyntheticFuels!F$4:F$1000)</f>
        <v>0</v>
      </c>
      <c r="H591" s="1" cm="1">
        <f t="array" ref="H591">SUMPRODUCT(("CT_CWODBDSCCS"=[1]OUT_SyntheticFuels!$C$4:$C$1000)*1,("CWOD"=[1]OUT_SyntheticFuels!$A$4:$A$1000)*1,("Var_Fin"=[1]OUT_SyntheticFuels!$B$4:$B$1000)*1,[1]OUT_SyntheticFuels!G$4:G$1000)</f>
        <v>0</v>
      </c>
      <c r="I591" s="1" cm="1">
        <f t="array" ref="I591">SUMPRODUCT(("CT_CWODBDSCCS"=[1]OUT_SyntheticFuels!$C$4:$C$1000)*1,("CWOD"=[1]OUT_SyntheticFuels!$A$4:$A$1000)*1,("Var_Fin"=[1]OUT_SyntheticFuels!$B$4:$B$1000)*1,[1]OUT_SyntheticFuels!H$4:H$1000)</f>
        <v>0</v>
      </c>
      <c r="J591" s="1" cm="1">
        <f t="array" ref="J591">SUMPRODUCT(("CT_CWODBDSCCS"=[1]OUT_SyntheticFuels!$C$4:$C$1000)*1,("CWOD"=[1]OUT_SyntheticFuels!$A$4:$A$1000)*1,("Var_Fin"=[1]OUT_SyntheticFuels!$B$4:$B$1000)*1,[1]OUT_SyntheticFuels!I$4:I$1000)</f>
        <v>5.9147562934762175E-3</v>
      </c>
      <c r="K591" s="1" cm="1">
        <f t="array" ref="K591">SUMPRODUCT(("CT_CWODBDSCCS"=[1]OUT_SyntheticFuels!$C$4:$C$1000)*1,("CWOD"=[1]OUT_SyntheticFuels!$A$4:$A$1000)*1,("Var_Fin"=[1]OUT_SyntheticFuels!$B$4:$B$1000)*1,[1]OUT_SyntheticFuels!J$4:J$1000)</f>
        <v>9.6359759380040177</v>
      </c>
    </row>
    <row r="592" spans="2:11" x14ac:dyDescent="0.35">
      <c r="B592" s="5" t="str">
        <f t="shared" si="350"/>
        <v>SPS2</v>
      </c>
      <c r="C592" s="5" t="s">
        <v>7</v>
      </c>
      <c r="D592" t="s">
        <v>906</v>
      </c>
      <c r="E592" s="5" t="s">
        <v>8</v>
      </c>
      <c r="F592" s="1">
        <f>SUM(F593:F594)</f>
        <v>9.5932244528393121E-3</v>
      </c>
      <c r="G592" s="1">
        <f t="shared" ref="G592:K592" si="365">SUM(G593:G594)</f>
        <v>8.3651187690326964E-2</v>
      </c>
      <c r="H592" s="1">
        <f t="shared" si="365"/>
        <v>8.3602960537117535E-2</v>
      </c>
      <c r="I592" s="1">
        <f t="shared" si="365"/>
        <v>6.63118717078785E-2</v>
      </c>
      <c r="J592" s="1">
        <f t="shared" si="365"/>
        <v>0.16380588801618984</v>
      </c>
      <c r="K592" s="1">
        <f t="shared" si="365"/>
        <v>0.5667538524328235</v>
      </c>
    </row>
    <row r="593" spans="2:11" x14ac:dyDescent="0.35">
      <c r="B593" s="5" t="str">
        <f t="shared" si="350"/>
        <v>SPS2</v>
      </c>
      <c r="C593" s="5" t="s">
        <v>7</v>
      </c>
      <c r="D593" t="s">
        <v>327</v>
      </c>
      <c r="E593" s="5" t="s">
        <v>8</v>
      </c>
      <c r="F593" s="1" cm="1">
        <f t="array" ref="F593">SUMPRODUCT(("CT_CWODBDS"=[1]OUT_SyntheticFuels!$C$4:$C$1000)*1,("Celc"=[1]OUT_SyntheticFuels!$A$4:$A$1000)*1,("Var_Fin"=[1]OUT_SyntheticFuels!$B$4:$B$1000)*1,[1]OUT_SyntheticFuels!E$4:E$1000)</f>
        <v>9.5932244528393121E-3</v>
      </c>
      <c r="G593" s="1" cm="1">
        <f t="array" ref="G593">SUMPRODUCT(("CT_CWODBDS"=[1]OUT_SyntheticFuels!$C$4:$C$1000)*1,("Celc"=[1]OUT_SyntheticFuels!$A$4:$A$1000)*1,("Var_Fin"=[1]OUT_SyntheticFuels!$B$4:$B$1000)*1,[1]OUT_SyntheticFuels!F$4:F$1000)</f>
        <v>8.3651187690326964E-2</v>
      </c>
      <c r="H593" s="1" cm="1">
        <f t="array" ref="H593">SUMPRODUCT(("CT_CWODBDS"=[1]OUT_SyntheticFuels!$C$4:$C$1000)*1,("Celc"=[1]OUT_SyntheticFuels!$A$4:$A$1000)*1,("Var_Fin"=[1]OUT_SyntheticFuels!$B$4:$B$1000)*1,[1]OUT_SyntheticFuels!G$4:G$1000)</f>
        <v>8.3602960537117535E-2</v>
      </c>
      <c r="I593" s="1" cm="1">
        <f t="array" ref="I593">SUMPRODUCT(("CT_CWODBDS"=[1]OUT_SyntheticFuels!$C$4:$C$1000)*1,("Celc"=[1]OUT_SyntheticFuels!$A$4:$A$1000)*1,("Var_Fin"=[1]OUT_SyntheticFuels!$B$4:$B$1000)*1,[1]OUT_SyntheticFuels!H$4:H$1000)</f>
        <v>6.63118717078785E-2</v>
      </c>
      <c r="J593" s="1" cm="1">
        <f t="array" ref="J593">SUMPRODUCT(("CT_CWODBDS"=[1]OUT_SyntheticFuels!$C$4:$C$1000)*1,("Celc"=[1]OUT_SyntheticFuels!$A$4:$A$1000)*1,("Var_Fin"=[1]OUT_SyntheticFuels!$B$4:$B$1000)*1,[1]OUT_SyntheticFuels!I$4:I$1000)</f>
        <v>0.163537972225893</v>
      </c>
      <c r="K593" s="1" cm="1">
        <f t="array" ref="K593">SUMPRODUCT(("CT_CWODBDS"=[1]OUT_SyntheticFuels!$C$4:$C$1000)*1,("Celc"=[1]OUT_SyntheticFuels!$A$4:$A$1000)*1,("Var_Fin"=[1]OUT_SyntheticFuels!$B$4:$B$1000)*1,[1]OUT_SyntheticFuels!J$4:J$1000)</f>
        <v>0.13028107475319869</v>
      </c>
    </row>
    <row r="594" spans="2:11" x14ac:dyDescent="0.35">
      <c r="B594" s="5" t="str">
        <f t="shared" si="350"/>
        <v>SPS2</v>
      </c>
      <c r="C594" s="5" t="s">
        <v>7</v>
      </c>
      <c r="D594" t="s">
        <v>328</v>
      </c>
      <c r="E594" s="5" t="s">
        <v>8</v>
      </c>
      <c r="F594" s="1" cm="1">
        <f t="array" ref="F594">SUMPRODUCT(("CT_CWODBDSCCS"=[1]OUT_SyntheticFuels!$C$4:$C$1000)*1,("Celc"=[1]OUT_SyntheticFuels!$A$4:$A$1000)*1,("Var_Fin"=[1]OUT_SyntheticFuels!$B$4:$B$1000)*1,[1]OUT_SyntheticFuels!E$4:E$1000)</f>
        <v>0</v>
      </c>
      <c r="G594" s="1" cm="1">
        <f t="array" ref="G594">SUMPRODUCT(("CT_CWODBDSCCS"=[1]OUT_SyntheticFuels!$C$4:$C$1000)*1,("Celc"=[1]OUT_SyntheticFuels!$A$4:$A$1000)*1,("Var_Fin"=[1]OUT_SyntheticFuels!$B$4:$B$1000)*1,[1]OUT_SyntheticFuels!F$4:F$1000)</f>
        <v>0</v>
      </c>
      <c r="H594" s="1" cm="1">
        <f t="array" ref="H594">SUMPRODUCT(("CT_CWODBDSCCS"=[1]OUT_SyntheticFuels!$C$4:$C$1000)*1,("Celc"=[1]OUT_SyntheticFuels!$A$4:$A$1000)*1,("Var_Fin"=[1]OUT_SyntheticFuels!$B$4:$B$1000)*1,[1]OUT_SyntheticFuels!G$4:G$1000)</f>
        <v>0</v>
      </c>
      <c r="I594" s="1" cm="1">
        <f t="array" ref="I594">SUMPRODUCT(("CT_CWODBDSCCS"=[1]OUT_SyntheticFuels!$C$4:$C$1000)*1,("Celc"=[1]OUT_SyntheticFuels!$A$4:$A$1000)*1,("Var_Fin"=[1]OUT_SyntheticFuels!$B$4:$B$1000)*1,[1]OUT_SyntheticFuels!H$4:H$1000)</f>
        <v>0</v>
      </c>
      <c r="J594" s="1" cm="1">
        <f t="array" ref="J594">SUMPRODUCT(("CT_CWODBDSCCS"=[1]OUT_SyntheticFuels!$C$4:$C$1000)*1,("Celc"=[1]OUT_SyntheticFuels!$A$4:$A$1000)*1,("Var_Fin"=[1]OUT_SyntheticFuels!$B$4:$B$1000)*1,[1]OUT_SyntheticFuels!I$4:I$1000)</f>
        <v>2.6791579029683229E-4</v>
      </c>
      <c r="K594" s="1" cm="1">
        <f t="array" ref="K594">SUMPRODUCT(("CT_CWODBDSCCS"=[1]OUT_SyntheticFuels!$C$4:$C$1000)*1,("Celc"=[1]OUT_SyntheticFuels!$A$4:$A$1000)*1,("Var_Fin"=[1]OUT_SyntheticFuels!$B$4:$B$1000)*1,[1]OUT_SyntheticFuels!J$4:J$1000)</f>
        <v>0.43647277767962483</v>
      </c>
    </row>
    <row r="595" spans="2:11" x14ac:dyDescent="0.35">
      <c r="B595" s="9" t="str">
        <f t="shared" si="350"/>
        <v>SPS2</v>
      </c>
      <c r="C595" s="9" t="s">
        <v>7</v>
      </c>
      <c r="D595" s="2" t="s">
        <v>306</v>
      </c>
      <c r="E595" s="9" t="s">
        <v>240</v>
      </c>
      <c r="F595" t="s">
        <v>292</v>
      </c>
      <c r="G595" t="s">
        <v>292</v>
      </c>
      <c r="H595" t="s">
        <v>292</v>
      </c>
      <c r="I595" t="s">
        <v>292</v>
      </c>
      <c r="J595" t="s">
        <v>292</v>
      </c>
      <c r="K595" t="s">
        <v>292</v>
      </c>
    </row>
    <row r="596" spans="2:11" x14ac:dyDescent="0.35">
      <c r="B596" s="5" t="str">
        <f t="shared" si="350"/>
        <v>SPS2</v>
      </c>
      <c r="C596" s="5" t="s">
        <v>7</v>
      </c>
      <c r="D596" t="s">
        <v>309</v>
      </c>
      <c r="E596" s="5" t="s">
        <v>240</v>
      </c>
      <c r="F596" s="4">
        <f>IFERROR(SUM(F582,F586)/SUM(F590,F593),"-")</f>
        <v>0.4761904761904765</v>
      </c>
      <c r="G596" s="4">
        <f t="shared" ref="G596:K597" si="366">IFERROR(SUM(G582,G586)/SUM(G590,G593),"-")</f>
        <v>0.47619047619047628</v>
      </c>
      <c r="H596" s="4">
        <f t="shared" si="366"/>
        <v>0.47619047619047628</v>
      </c>
      <c r="I596" s="4">
        <f t="shared" si="366"/>
        <v>0.47619047619047611</v>
      </c>
      <c r="J596" s="4">
        <f t="shared" si="366"/>
        <v>0.47619047619047622</v>
      </c>
      <c r="K596" s="4">
        <f t="shared" si="366"/>
        <v>0.47619047619047611</v>
      </c>
    </row>
    <row r="597" spans="2:11" x14ac:dyDescent="0.35">
      <c r="B597" s="5" t="str">
        <f t="shared" si="350"/>
        <v>SPS2</v>
      </c>
      <c r="C597" s="5" t="s">
        <v>7</v>
      </c>
      <c r="D597" t="s">
        <v>310</v>
      </c>
      <c r="E597" s="5" t="s">
        <v>240</v>
      </c>
      <c r="F597" s="4" t="str">
        <f>IFERROR(SUM(F583,F587)/SUM(F591,F594),"-")</f>
        <v>-</v>
      </c>
      <c r="G597" s="4" t="str">
        <f t="shared" si="366"/>
        <v>-</v>
      </c>
      <c r="H597" s="4" t="str">
        <f t="shared" si="366"/>
        <v>-</v>
      </c>
      <c r="I597" s="4" t="str">
        <f t="shared" si="366"/>
        <v>-</v>
      </c>
      <c r="J597" s="4">
        <f t="shared" si="366"/>
        <v>0.46666666666666701</v>
      </c>
      <c r="K597" s="4">
        <f t="shared" si="366"/>
        <v>0.46666666666666651</v>
      </c>
    </row>
    <row r="598" spans="2:11" x14ac:dyDescent="0.35">
      <c r="B598" s="9" t="str">
        <f t="shared" si="350"/>
        <v>SPS2</v>
      </c>
      <c r="C598" s="9" t="s">
        <v>7</v>
      </c>
      <c r="D598" s="2" t="s">
        <v>376</v>
      </c>
      <c r="E598" s="9" t="s">
        <v>8</v>
      </c>
      <c r="F598" s="1">
        <f>[1]Other_transformation!B$12</f>
        <v>1.4611241706793983</v>
      </c>
      <c r="G598" s="1">
        <f>[1]Other_transformation!C$12</f>
        <v>0.2814088724245255</v>
      </c>
      <c r="H598" s="1">
        <f>[1]Other_transformation!D$12</f>
        <v>1.5960512106791773</v>
      </c>
      <c r="I598" s="1">
        <f>[1]Other_transformation!E$12</f>
        <v>1.6674504519051325</v>
      </c>
      <c r="J598" s="1">
        <f>[1]Other_transformation!F$12</f>
        <v>5.0804190942731837E-4</v>
      </c>
      <c r="K598" s="1">
        <f>[1]Other_transformation!G$12</f>
        <v>1.3243979384179793E-2</v>
      </c>
    </row>
    <row r="599" spans="2:11" x14ac:dyDescent="0.35">
      <c r="B599" s="5" t="str">
        <f t="shared" si="350"/>
        <v>SPS2</v>
      </c>
      <c r="C599" s="5" t="s">
        <v>7</v>
      </c>
      <c r="D599" t="s">
        <v>2165</v>
      </c>
      <c r="E599" t="str">
        <f>E598</f>
        <v>PJ/yr.</v>
      </c>
      <c r="F599" s="1">
        <f>SUM(F600:F601)</f>
        <v>1.4611241706793983</v>
      </c>
      <c r="G599" s="1">
        <f t="shared" ref="G599:K599" si="367">SUM(G600:G601)</f>
        <v>0.2814088724245255</v>
      </c>
      <c r="H599" s="1">
        <f t="shared" si="367"/>
        <v>1.5960512106791773</v>
      </c>
      <c r="I599" s="1">
        <f t="shared" si="367"/>
        <v>1.6674504519051325</v>
      </c>
      <c r="J599" s="1">
        <f t="shared" si="367"/>
        <v>5.0804190942731837E-4</v>
      </c>
      <c r="K599" s="1">
        <f t="shared" si="367"/>
        <v>1.3243979384179793E-2</v>
      </c>
    </row>
    <row r="600" spans="2:11" x14ac:dyDescent="0.35">
      <c r="B600" s="5" t="str">
        <f t="shared" si="350"/>
        <v>SPS2</v>
      </c>
      <c r="C600" s="5" t="s">
        <v>7</v>
      </c>
      <c r="D600" t="s">
        <v>2166</v>
      </c>
      <c r="E600" t="str">
        <f t="shared" ref="E600:E601" si="368">E599</f>
        <v>PJ/yr.</v>
      </c>
      <c r="F600" s="1" cm="1">
        <f t="array" ref="F600">SUMPRODUCT(("CT_CWODETH"=[1]OUT_SyntheticFuels!$C$4:$C$1000)*1,("ETH"=[1]OUT_SyntheticFuels!$A$4:$A$1000)*1,("Var_Fout"=[1]OUT_SyntheticFuels!$B$4:$B$1000)*1,[1]OUT_SyntheticFuels!E$4:E$1000)</f>
        <v>1.4611241706793983</v>
      </c>
      <c r="G600" s="1" cm="1">
        <f t="array" ref="G600">SUMPRODUCT(("CT_CWODETH"=[1]OUT_SyntheticFuels!$C$4:$C$1000)*1,("ETH"=[1]OUT_SyntheticFuels!$A$4:$A$1000)*1,("Var_Fout"=[1]OUT_SyntheticFuels!$B$4:$B$1000)*1,[1]OUT_SyntheticFuels!F$4:F$1000)</f>
        <v>0.2814088724245255</v>
      </c>
      <c r="H600" s="1" cm="1">
        <f t="array" ref="H600">SUMPRODUCT(("CT_CWODETH"=[1]OUT_SyntheticFuels!$C$4:$C$1000)*1,("ETH"=[1]OUT_SyntheticFuels!$A$4:$A$1000)*1,("Var_Fout"=[1]OUT_SyntheticFuels!$B$4:$B$1000)*1,[1]OUT_SyntheticFuels!G$4:G$1000)</f>
        <v>1.5960512106791773</v>
      </c>
      <c r="I600" s="1" cm="1">
        <f t="array" ref="I600">SUMPRODUCT(("CT_CWODETH"=[1]OUT_SyntheticFuels!$C$4:$C$1000)*1,("ETH"=[1]OUT_SyntheticFuels!$A$4:$A$1000)*1,("Var_Fout"=[1]OUT_SyntheticFuels!$B$4:$B$1000)*1,[1]OUT_SyntheticFuels!H$4:H$1000)</f>
        <v>1.6674504519051325</v>
      </c>
      <c r="J600" s="1" cm="1">
        <f t="array" ref="J600">SUMPRODUCT(("CT_CWODETH"=[1]OUT_SyntheticFuels!$C$4:$C$1000)*1,("ETH"=[1]OUT_SyntheticFuels!$A$4:$A$1000)*1,("Var_Fout"=[1]OUT_SyntheticFuels!$B$4:$B$1000)*1,[1]OUT_SyntheticFuels!I$4:I$1000)</f>
        <v>3.1248299282169903E-4</v>
      </c>
      <c r="K600" s="1" cm="1">
        <f t="array" ref="K600">SUMPRODUCT(("CT_CWODETH"=[1]OUT_SyntheticFuels!$C$4:$C$1000)*1,("ETH"=[1]OUT_SyntheticFuels!$A$4:$A$1000)*1,("Var_Fout"=[1]OUT_SyntheticFuels!$B$4:$B$1000)*1,[1]OUT_SyntheticFuels!J$4:J$1000)</f>
        <v>6.8795416216658903E-4</v>
      </c>
    </row>
    <row r="601" spans="2:11" x14ac:dyDescent="0.35">
      <c r="B601" s="5" t="str">
        <f t="shared" si="350"/>
        <v>SPS2</v>
      </c>
      <c r="C601" s="5" t="s">
        <v>7</v>
      </c>
      <c r="D601" t="s">
        <v>2167</v>
      </c>
      <c r="E601" t="str">
        <f t="shared" si="368"/>
        <v>PJ/yr.</v>
      </c>
      <c r="F601" s="1" cm="1">
        <f t="array" ref="F601">SUMPRODUCT(("CT_CWODETHCCS"=[1]OUT_SyntheticFuels!$C$4:$C$1000)*1,("ETH"=[1]OUT_SyntheticFuels!$A$4:$A$1000)*1,("Var_Fout"=[1]OUT_SyntheticFuels!$B$4:$B$1000)*1,[1]OUT_SyntheticFuels!E$4:E$1000)</f>
        <v>0</v>
      </c>
      <c r="G601" s="1" cm="1">
        <f t="array" ref="G601">SUMPRODUCT(("CT_CWODETHCCS"=[1]OUT_SyntheticFuels!$C$4:$C$1000)*1,("ETH"=[1]OUT_SyntheticFuels!$A$4:$A$1000)*1,("Var_Fout"=[1]OUT_SyntheticFuels!$B$4:$B$1000)*1,[1]OUT_SyntheticFuels!F$4:F$1000)</f>
        <v>0</v>
      </c>
      <c r="H601" s="1" cm="1">
        <f t="array" ref="H601">SUMPRODUCT(("CT_CWODETHCCS"=[1]OUT_SyntheticFuels!$C$4:$C$1000)*1,("ETH"=[1]OUT_SyntheticFuels!$A$4:$A$1000)*1,("Var_Fout"=[1]OUT_SyntheticFuels!$B$4:$B$1000)*1,[1]OUT_SyntheticFuels!G$4:G$1000)</f>
        <v>0</v>
      </c>
      <c r="I601" s="1" cm="1">
        <f t="array" ref="I601">SUMPRODUCT(("CT_CWODETHCCS"=[1]OUT_SyntheticFuels!$C$4:$C$1000)*1,("ETH"=[1]OUT_SyntheticFuels!$A$4:$A$1000)*1,("Var_Fout"=[1]OUT_SyntheticFuels!$B$4:$B$1000)*1,[1]OUT_SyntheticFuels!H$4:H$1000)</f>
        <v>0</v>
      </c>
      <c r="J601" s="1" cm="1">
        <f t="array" ref="J601">SUMPRODUCT(("CT_CWODETHCCS"=[1]OUT_SyntheticFuels!$C$4:$C$1000)*1,("ETH"=[1]OUT_SyntheticFuels!$A$4:$A$1000)*1,("Var_Fout"=[1]OUT_SyntheticFuels!$B$4:$B$1000)*1,[1]OUT_SyntheticFuels!I$4:I$1000)</f>
        <v>1.9555891660561931E-4</v>
      </c>
      <c r="K601" s="1" cm="1">
        <f t="array" ref="K601">SUMPRODUCT(("CT_CWODETHCCS"=[1]OUT_SyntheticFuels!$C$4:$C$1000)*1,("ETH"=[1]OUT_SyntheticFuels!$A$4:$A$1000)*1,("Var_Fout"=[1]OUT_SyntheticFuels!$B$4:$B$1000)*1,[1]OUT_SyntheticFuels!J$4:J$1000)</f>
        <v>1.2556025222013205E-2</v>
      </c>
    </row>
    <row r="602" spans="2:11" x14ac:dyDescent="0.35">
      <c r="B602" s="9" t="str">
        <f t="shared" si="350"/>
        <v>SPS2</v>
      </c>
      <c r="C602" s="9" t="s">
        <v>7</v>
      </c>
      <c r="D602" s="2" t="s">
        <v>378</v>
      </c>
      <c r="E602" s="9" t="s">
        <v>8</v>
      </c>
      <c r="F602" s="3">
        <f>F603+F606</f>
        <v>5.4499931566341537</v>
      </c>
      <c r="G602" s="3">
        <f t="shared" ref="G602:K602" si="369">G603+G606</f>
        <v>1.0496550941434797</v>
      </c>
      <c r="H602" s="3">
        <f t="shared" si="369"/>
        <v>5.9532710158333302</v>
      </c>
      <c r="I602" s="3">
        <f t="shared" si="369"/>
        <v>6.2195901856061404</v>
      </c>
      <c r="J602" s="3">
        <f t="shared" si="369"/>
        <v>1.9849534238024825E-3</v>
      </c>
      <c r="K602" s="3">
        <f t="shared" si="369"/>
        <v>5.5175814705116719E-2</v>
      </c>
    </row>
    <row r="603" spans="2:11" x14ac:dyDescent="0.35">
      <c r="B603" s="5" t="str">
        <f t="shared" si="350"/>
        <v>SPS2</v>
      </c>
      <c r="C603" s="5" t="s">
        <v>7</v>
      </c>
      <c r="D603" t="s">
        <v>907</v>
      </c>
      <c r="E603" s="5" t="s">
        <v>8</v>
      </c>
      <c r="F603" s="1">
        <f>SUM(F604:F605)</f>
        <v>3.0537495167199404</v>
      </c>
      <c r="G603" s="1">
        <f t="shared" ref="G603:K603" si="370">SUM(G604:G605)</f>
        <v>0.5881445433672583</v>
      </c>
      <c r="H603" s="1">
        <f t="shared" si="370"/>
        <v>3.3357470303194794</v>
      </c>
      <c r="I603" s="1">
        <f t="shared" si="370"/>
        <v>3.484971444481725</v>
      </c>
      <c r="J603" s="1">
        <f t="shared" si="370"/>
        <v>1.0618075907030951E-3</v>
      </c>
      <c r="K603" s="1">
        <f t="shared" si="370"/>
        <v>2.7679916912935764E-2</v>
      </c>
    </row>
    <row r="604" spans="2:11" x14ac:dyDescent="0.35">
      <c r="B604" s="5" t="str">
        <f t="shared" si="350"/>
        <v>SPS2</v>
      </c>
      <c r="C604" s="5" t="s">
        <v>7</v>
      </c>
      <c r="D604" t="s">
        <v>321</v>
      </c>
      <c r="E604" s="5" t="s">
        <v>8</v>
      </c>
      <c r="F604" s="1" cm="1">
        <f t="array" ref="F604">SUMPRODUCT(("CT_CWODETH"=[1]OUT_SyntheticFuels!$C$4:$C$1000)*1,("cwod"=[1]OUT_SyntheticFuels!$A$4:$A$1000)*1,("Var_Fin"=[1]OUT_SyntheticFuels!$B$4:$B$1000)*1,[1]OUT_SyntheticFuels!E$4:E$1000)</f>
        <v>3.0537495167199404</v>
      </c>
      <c r="G604" s="1" cm="1">
        <f t="array" ref="G604">SUMPRODUCT(("CT_CWODETH"=[1]OUT_SyntheticFuels!$C$4:$C$1000)*1,("cwod"=[1]OUT_SyntheticFuels!$A$4:$A$1000)*1,("Var_Fin"=[1]OUT_SyntheticFuels!$B$4:$B$1000)*1,[1]OUT_SyntheticFuels!F$4:F$1000)</f>
        <v>0.5881445433672583</v>
      </c>
      <c r="H604" s="1" cm="1">
        <f t="array" ref="H604">SUMPRODUCT(("CT_CWODETH"=[1]OUT_SyntheticFuels!$C$4:$C$1000)*1,("cwod"=[1]OUT_SyntheticFuels!$A$4:$A$1000)*1,("Var_Fin"=[1]OUT_SyntheticFuels!$B$4:$B$1000)*1,[1]OUT_SyntheticFuels!G$4:G$1000)</f>
        <v>3.3357470303194794</v>
      </c>
      <c r="I604" s="1" cm="1">
        <f t="array" ref="I604">SUMPRODUCT(("CT_CWODETH"=[1]OUT_SyntheticFuels!$C$4:$C$1000)*1,("cwod"=[1]OUT_SyntheticFuels!$A$4:$A$1000)*1,("Var_Fin"=[1]OUT_SyntheticFuels!$B$4:$B$1000)*1,[1]OUT_SyntheticFuels!H$4:H$1000)</f>
        <v>3.484971444481725</v>
      </c>
      <c r="J604" s="1" cm="1">
        <f t="array" ref="J604">SUMPRODUCT(("CT_CWODETH"=[1]OUT_SyntheticFuels!$C$4:$C$1000)*1,("cwod"=[1]OUT_SyntheticFuels!$A$4:$A$1000)*1,("Var_Fin"=[1]OUT_SyntheticFuels!$B$4:$B$1000)*1,[1]OUT_SyntheticFuels!I$4:I$1000)</f>
        <v>6.530894549973506E-4</v>
      </c>
      <c r="K604" s="1" cm="1">
        <f t="array" ref="K604">SUMPRODUCT(("CT_CWODETH"=[1]OUT_SyntheticFuels!$C$4:$C$1000)*1,("cwod"=[1]OUT_SyntheticFuels!$A$4:$A$1000)*1,("Var_Fin"=[1]OUT_SyntheticFuels!$B$4:$B$1000)*1,[1]OUT_SyntheticFuels!J$4:J$1000)</f>
        <v>1.4378241989281687E-3</v>
      </c>
    </row>
    <row r="605" spans="2:11" x14ac:dyDescent="0.35">
      <c r="B605" s="5" t="str">
        <f t="shared" si="350"/>
        <v>SPS2</v>
      </c>
      <c r="C605" s="5" t="s">
        <v>7</v>
      </c>
      <c r="D605" t="s">
        <v>322</v>
      </c>
      <c r="E605" s="5" t="s">
        <v>8</v>
      </c>
      <c r="F605" s="1" cm="1">
        <f t="array" ref="F605">SUMPRODUCT(("CT_CWODETHCCS"=[1]OUT_SyntheticFuels!$C$4:$C$1000)*1,("cwod"=[1]OUT_SyntheticFuels!$A$4:$A$1000)*1,("Var_Fin"=[1]OUT_SyntheticFuels!$B$4:$B$1000)*1,[1]OUT_SyntheticFuels!E$4:E$1000)</f>
        <v>0</v>
      </c>
      <c r="G605" s="1" cm="1">
        <f t="array" ref="G605">SUMPRODUCT(("CT_CWODETHCCS"=[1]OUT_SyntheticFuels!$C$4:$C$1000)*1,("cwod"=[1]OUT_SyntheticFuels!$A$4:$A$1000)*1,("Var_Fin"=[1]OUT_SyntheticFuels!$B$4:$B$1000)*1,[1]OUT_SyntheticFuels!F$4:F$1000)</f>
        <v>0</v>
      </c>
      <c r="H605" s="1" cm="1">
        <f t="array" ref="H605">SUMPRODUCT(("CT_CWODETHCCS"=[1]OUT_SyntheticFuels!$C$4:$C$1000)*1,("cwod"=[1]OUT_SyntheticFuels!$A$4:$A$1000)*1,("Var_Fin"=[1]OUT_SyntheticFuels!$B$4:$B$1000)*1,[1]OUT_SyntheticFuels!G$4:G$1000)</f>
        <v>0</v>
      </c>
      <c r="I605" s="1" cm="1">
        <f t="array" ref="I605">SUMPRODUCT(("CT_CWODETHCCS"=[1]OUT_SyntheticFuels!$C$4:$C$1000)*1,("cwod"=[1]OUT_SyntheticFuels!$A$4:$A$1000)*1,("Var_Fin"=[1]OUT_SyntheticFuels!$B$4:$B$1000)*1,[1]OUT_SyntheticFuels!H$4:H$1000)</f>
        <v>0</v>
      </c>
      <c r="J605" s="1" cm="1">
        <f t="array" ref="J605">SUMPRODUCT(("CT_CWODETHCCS"=[1]OUT_SyntheticFuels!$C$4:$C$1000)*1,("cwod"=[1]OUT_SyntheticFuels!$A$4:$A$1000)*1,("Var_Fin"=[1]OUT_SyntheticFuels!$B$4:$B$1000)*1,[1]OUT_SyntheticFuels!I$4:I$1000)</f>
        <v>4.0871813570574441E-4</v>
      </c>
      <c r="K605" s="1" cm="1">
        <f t="array" ref="K605">SUMPRODUCT(("CT_CWODETHCCS"=[1]OUT_SyntheticFuels!$C$4:$C$1000)*1,("cwod"=[1]OUT_SyntheticFuels!$A$4:$A$1000)*1,("Var_Fin"=[1]OUT_SyntheticFuels!$B$4:$B$1000)*1,[1]OUT_SyntheticFuels!J$4:J$1000)</f>
        <v>2.6242092714007594E-2</v>
      </c>
    </row>
    <row r="606" spans="2:11" x14ac:dyDescent="0.35">
      <c r="B606" s="5" t="str">
        <f t="shared" si="350"/>
        <v>SPS2</v>
      </c>
      <c r="C606" s="5" t="s">
        <v>7</v>
      </c>
      <c r="D606" t="s">
        <v>908</v>
      </c>
      <c r="E606" s="5" t="s">
        <v>8</v>
      </c>
      <c r="F606" s="1">
        <f>SUM(F607:F608)</f>
        <v>2.3962436399142129</v>
      </c>
      <c r="G606" s="1">
        <f t="shared" ref="G606:K606" si="371">SUM(G607:G608)</f>
        <v>0.46151055077622144</v>
      </c>
      <c r="H606" s="1">
        <f t="shared" si="371"/>
        <v>2.6175239855138503</v>
      </c>
      <c r="I606" s="1">
        <f t="shared" si="371"/>
        <v>2.7346187411244158</v>
      </c>
      <c r="J606" s="1">
        <f t="shared" si="371"/>
        <v>9.2314583309938743E-4</v>
      </c>
      <c r="K606" s="1">
        <f t="shared" si="371"/>
        <v>2.7495897792180951E-2</v>
      </c>
    </row>
    <row r="607" spans="2:11" x14ac:dyDescent="0.35">
      <c r="B607" s="5" t="str">
        <f t="shared" si="350"/>
        <v>SPS2</v>
      </c>
      <c r="C607" s="5" t="s">
        <v>7</v>
      </c>
      <c r="D607" t="s">
        <v>323</v>
      </c>
      <c r="E607" s="5" t="s">
        <v>8</v>
      </c>
      <c r="F607" s="1" cm="1">
        <f t="array" ref="F607">SUMPRODUCT(("CT_CWODETH"=[1]OUT_SyntheticFuels!$C$4:$C$1000)*1,("celc"=[1]OUT_SyntheticFuels!$A$4:$A$1000)*1,("Var_Fin"=[1]OUT_SyntheticFuels!$B$4:$B$1000)*1,[1]OUT_SyntheticFuels!E$4:E$1000)</f>
        <v>2.3962436399142129</v>
      </c>
      <c r="G607" s="1" cm="1">
        <f t="array" ref="G607">SUMPRODUCT(("CT_CWODETH"=[1]OUT_SyntheticFuels!$C$4:$C$1000)*1,("celc"=[1]OUT_SyntheticFuels!$A$4:$A$1000)*1,("Var_Fin"=[1]OUT_SyntheticFuels!$B$4:$B$1000)*1,[1]OUT_SyntheticFuels!F$4:F$1000)</f>
        <v>0.46151055077622144</v>
      </c>
      <c r="H607" s="1" cm="1">
        <f t="array" ref="H607">SUMPRODUCT(("CT_CWODETH"=[1]OUT_SyntheticFuels!$C$4:$C$1000)*1,("celc"=[1]OUT_SyntheticFuels!$A$4:$A$1000)*1,("Var_Fin"=[1]OUT_SyntheticFuels!$B$4:$B$1000)*1,[1]OUT_SyntheticFuels!G$4:G$1000)</f>
        <v>2.6175239855138503</v>
      </c>
      <c r="I607" s="1" cm="1">
        <f t="array" ref="I607">SUMPRODUCT(("CT_CWODETH"=[1]OUT_SyntheticFuels!$C$4:$C$1000)*1,("celc"=[1]OUT_SyntheticFuels!$A$4:$A$1000)*1,("Var_Fin"=[1]OUT_SyntheticFuels!$B$4:$B$1000)*1,[1]OUT_SyntheticFuels!H$4:H$1000)</f>
        <v>2.7346187411244158</v>
      </c>
      <c r="J607" s="1" cm="1">
        <f t="array" ref="J607">SUMPRODUCT(("CT_CWODETH"=[1]OUT_SyntheticFuels!$C$4:$C$1000)*1,("celc"=[1]OUT_SyntheticFuels!$A$4:$A$1000)*1,("Var_Fin"=[1]OUT_SyntheticFuels!$B$4:$B$1000)*1,[1]OUT_SyntheticFuels!I$4:I$1000)</f>
        <v>5.1247210822758643E-4</v>
      </c>
      <c r="K607" s="1" cm="1">
        <f t="array" ref="K607">SUMPRODUCT(("CT_CWODETH"=[1]OUT_SyntheticFuels!$C$4:$C$1000)*1,("celc"=[1]OUT_SyntheticFuels!$A$4:$A$1000)*1,("Var_Fin"=[1]OUT_SyntheticFuels!$B$4:$B$1000)*1,[1]OUT_SyntheticFuels!J$4:J$1000)</f>
        <v>1.1282448259532054E-3</v>
      </c>
    </row>
    <row r="608" spans="2:11" x14ac:dyDescent="0.35">
      <c r="B608" s="5" t="str">
        <f t="shared" si="350"/>
        <v>SPS2</v>
      </c>
      <c r="C608" s="5" t="s">
        <v>7</v>
      </c>
      <c r="D608" t="s">
        <v>324</v>
      </c>
      <c r="E608" s="5" t="s">
        <v>8</v>
      </c>
      <c r="F608" s="1" cm="1">
        <f t="array" ref="F608">SUMPRODUCT(("CT_CWODETHCCS"=[1]OUT_SyntheticFuels!$C$4:$C$1000)*1,("celc"=[1]OUT_SyntheticFuels!$A$4:$A$1000)*1,("Var_Fin"=[1]OUT_SyntheticFuels!$B$4:$B$1000)*1,[1]OUT_SyntheticFuels!E$4:E$1000)</f>
        <v>0</v>
      </c>
      <c r="G608" s="1" cm="1">
        <f t="array" ref="G608">SUMPRODUCT(("CT_CWODETHCCS"=[1]OUT_SyntheticFuels!$C$4:$C$1000)*1,("celc"=[1]OUT_SyntheticFuels!$A$4:$A$1000)*1,("Var_Fin"=[1]OUT_SyntheticFuels!$B$4:$B$1000)*1,[1]OUT_SyntheticFuels!F$4:F$1000)</f>
        <v>0</v>
      </c>
      <c r="H608" s="1" cm="1">
        <f t="array" ref="H608">SUMPRODUCT(("CT_CWODETHCCS"=[1]OUT_SyntheticFuels!$C$4:$C$1000)*1,("celc"=[1]OUT_SyntheticFuels!$A$4:$A$1000)*1,("Var_Fin"=[1]OUT_SyntheticFuels!$B$4:$B$1000)*1,[1]OUT_SyntheticFuels!G$4:G$1000)</f>
        <v>0</v>
      </c>
      <c r="I608" s="1" cm="1">
        <f t="array" ref="I608">SUMPRODUCT(("CT_CWODETHCCS"=[1]OUT_SyntheticFuels!$C$4:$C$1000)*1,("celc"=[1]OUT_SyntheticFuels!$A$4:$A$1000)*1,("Var_Fin"=[1]OUT_SyntheticFuels!$B$4:$B$1000)*1,[1]OUT_SyntheticFuels!H$4:H$1000)</f>
        <v>0</v>
      </c>
      <c r="J608" s="1" cm="1">
        <f t="array" ref="J608">SUMPRODUCT(("CT_CWODETHCCS"=[1]OUT_SyntheticFuels!$C$4:$C$1000)*1,("celc"=[1]OUT_SyntheticFuels!$A$4:$A$1000)*1,("Var_Fin"=[1]OUT_SyntheticFuels!$B$4:$B$1000)*1,[1]OUT_SyntheticFuels!I$4:I$1000)</f>
        <v>4.1067372487180095E-4</v>
      </c>
      <c r="K608" s="1" cm="1">
        <f t="array" ref="K608">SUMPRODUCT(("CT_CWODETHCCS"=[1]OUT_SyntheticFuels!$C$4:$C$1000)*1,("celc"=[1]OUT_SyntheticFuels!$A$4:$A$1000)*1,("Var_Fin"=[1]OUT_SyntheticFuels!$B$4:$B$1000)*1,[1]OUT_SyntheticFuels!J$4:J$1000)</f>
        <v>2.6367652966227745E-2</v>
      </c>
    </row>
    <row r="609" spans="2:11" x14ac:dyDescent="0.35">
      <c r="B609" s="9" t="str">
        <f t="shared" si="350"/>
        <v>SPS2</v>
      </c>
      <c r="C609" s="9" t="s">
        <v>7</v>
      </c>
      <c r="D609" s="2" t="s">
        <v>311</v>
      </c>
      <c r="E609" s="9" t="s">
        <v>240</v>
      </c>
      <c r="F609" t="s">
        <v>292</v>
      </c>
      <c r="G609" t="s">
        <v>292</v>
      </c>
      <c r="H609" t="s">
        <v>292</v>
      </c>
      <c r="I609" t="s">
        <v>292</v>
      </c>
      <c r="J609" t="s">
        <v>292</v>
      </c>
      <c r="K609" t="s">
        <v>292</v>
      </c>
    </row>
    <row r="610" spans="2:11" x14ac:dyDescent="0.35">
      <c r="B610" s="5" t="str">
        <f t="shared" si="350"/>
        <v>SPS2</v>
      </c>
      <c r="C610" s="5" t="s">
        <v>7</v>
      </c>
      <c r="D610" t="s">
        <v>312</v>
      </c>
      <c r="E610" s="5" t="s">
        <v>240</v>
      </c>
      <c r="F610" s="4">
        <f>IFERROR(F600/SUM(F604,F607),"-")</f>
        <v>0.26809651474530838</v>
      </c>
      <c r="G610">
        <f t="shared" ref="G610:K611" si="372">IFERROR(G600/SUM(G604,G607),"-")</f>
        <v>0.26809651474530843</v>
      </c>
      <c r="H610">
        <f t="shared" si="372"/>
        <v>0.26809651474530838</v>
      </c>
      <c r="I610">
        <f t="shared" si="372"/>
        <v>0.26809651474530849</v>
      </c>
      <c r="J610">
        <f t="shared" si="372"/>
        <v>0.26809651474530838</v>
      </c>
      <c r="K610">
        <f t="shared" si="372"/>
        <v>0.2680965147453086</v>
      </c>
    </row>
    <row r="611" spans="2:11" x14ac:dyDescent="0.35">
      <c r="B611" s="5" t="str">
        <f t="shared" si="350"/>
        <v>SPS2</v>
      </c>
      <c r="C611" s="5" t="s">
        <v>7</v>
      </c>
      <c r="D611" t="s">
        <v>313</v>
      </c>
      <c r="E611" s="5" t="s">
        <v>240</v>
      </c>
      <c r="F611" t="str">
        <f>IFERROR(F601/SUM(F605,F608),"-")</f>
        <v>-</v>
      </c>
      <c r="G611" t="str">
        <f t="shared" si="372"/>
        <v>-</v>
      </c>
      <c r="H611" t="str">
        <f t="shared" si="372"/>
        <v>-</v>
      </c>
      <c r="I611" t="str">
        <f t="shared" si="372"/>
        <v>-</v>
      </c>
      <c r="J611">
        <f t="shared" si="372"/>
        <v>0.23866348448687338</v>
      </c>
      <c r="K611">
        <f t="shared" si="372"/>
        <v>0.23866348448687347</v>
      </c>
    </row>
    <row r="612" spans="2:11" x14ac:dyDescent="0.35">
      <c r="B612" s="5" t="str">
        <f t="shared" si="350"/>
        <v>SPS2</v>
      </c>
      <c r="C612" s="5" t="s">
        <v>7</v>
      </c>
      <c r="D612" s="2" t="s">
        <v>381</v>
      </c>
      <c r="E612" s="9" t="s">
        <v>8</v>
      </c>
      <c r="F612" s="3">
        <f>F613+F614+F619</f>
        <v>6.9574454253575864</v>
      </c>
      <c r="G612" s="3">
        <f t="shared" ref="G612" si="373">G613+G614+G619</f>
        <v>10.115109693592716</v>
      </c>
      <c r="H612" s="3">
        <f t="shared" ref="H612" si="374">H613+H614+H619</f>
        <v>9.6837056594318902</v>
      </c>
      <c r="I612" s="3">
        <f t="shared" ref="I612" si="375">I613+I614+I619</f>
        <v>11.313975007813593</v>
      </c>
      <c r="J612" s="3">
        <f t="shared" ref="J612" si="376">J613+J614+J619</f>
        <v>15.555333170260548</v>
      </c>
      <c r="K612" s="3">
        <f t="shared" ref="K612" si="377">K613+K614+K619</f>
        <v>18.081470424001154</v>
      </c>
    </row>
    <row r="613" spans="2:11" x14ac:dyDescent="0.35">
      <c r="B613" s="5" t="str">
        <f t="shared" si="350"/>
        <v>SPS2</v>
      </c>
      <c r="C613" s="5" t="s">
        <v>7</v>
      </c>
      <c r="D613" t="s">
        <v>314</v>
      </c>
      <c r="E613" s="5" t="s">
        <v>8</v>
      </c>
      <c r="F613" s="1">
        <f>[1]Other_transformation!B$19</f>
        <v>1.32802007570037</v>
      </c>
      <c r="G613" s="1">
        <f>[1]Other_transformation!C$19</f>
        <v>4.3847655716738618</v>
      </c>
      <c r="H613" s="1">
        <f>[1]Other_transformation!D$19</f>
        <v>4.3847716285726008</v>
      </c>
      <c r="I613" s="1">
        <f>[1]Other_transformation!E$19</f>
        <v>4.3847791454292375</v>
      </c>
      <c r="J613" s="1">
        <f>[1]Other_transformation!F$19</f>
        <v>6.0700262512340153</v>
      </c>
      <c r="K613" s="1">
        <f>[1]Other_transformation!G$19</f>
        <v>6.583830369078786</v>
      </c>
    </row>
    <row r="614" spans="2:11" x14ac:dyDescent="0.35">
      <c r="B614" s="5" t="str">
        <f t="shared" si="350"/>
        <v>SPS2</v>
      </c>
      <c r="C614" s="5" t="s">
        <v>7</v>
      </c>
      <c r="D614" t="s">
        <v>909</v>
      </c>
      <c r="E614" s="5" t="s">
        <v>8</v>
      </c>
      <c r="F614" s="1">
        <f>[1]Other_transformation!B$20</f>
        <v>5.6294253496572164</v>
      </c>
      <c r="G614" s="1">
        <f>[1]Other_transformation!C$20</f>
        <v>5.7293049286075135</v>
      </c>
      <c r="H614" s="1">
        <f>[1]Other_transformation!D$20</f>
        <v>5.2984817034521816</v>
      </c>
      <c r="I614" s="1">
        <f>[1]Other_transformation!E$20</f>
        <v>6.9211544317700699</v>
      </c>
      <c r="J614" s="1">
        <f>[1]Other_transformation!F$20</f>
        <v>8.5093279107515993</v>
      </c>
      <c r="K614" s="1">
        <f>[1]Other_transformation!G$20</f>
        <v>9.9617008912171023</v>
      </c>
    </row>
    <row r="615" spans="2:11" x14ac:dyDescent="0.35">
      <c r="B615" s="5" t="str">
        <f t="shared" si="350"/>
        <v>SPS2</v>
      </c>
      <c r="C615" s="5" t="s">
        <v>7</v>
      </c>
      <c r="D615" t="s">
        <v>315</v>
      </c>
      <c r="E615" s="5" t="s">
        <v>8</v>
      </c>
      <c r="F615" s="1" cm="1">
        <f t="array" ref="F615">SUMPRODUCT(("SUP_WSTBIO"=[1]OUT_SyntheticFuels!$C$4:$C$1000)*1,("BIO"=[1]OUT_SyntheticFuels!$A$4:$A$1000)*1,("Var_Fout"=[1]OUT_SyntheticFuels!$B$4:$B$1000)*1,[1]OUT_SyntheticFuels!E$4:E$1000)</f>
        <v>5.6294253496572164</v>
      </c>
      <c r="G615" s="1" cm="1">
        <f t="array" ref="G615">SUMPRODUCT(("SUP_WSTBIO"=[1]OUT_SyntheticFuels!$C$4:$C$1000)*1,("BIO"=[1]OUT_SyntheticFuels!$A$4:$A$1000)*1,("Var_Fout"=[1]OUT_SyntheticFuels!$B$4:$B$1000)*1,[1]OUT_SyntheticFuels!F$4:F$1000)</f>
        <v>5.7293049286075135</v>
      </c>
      <c r="H615" s="1" cm="1">
        <f t="array" ref="H615">SUMPRODUCT(("SUP_WSTBIO"=[1]OUT_SyntheticFuels!$C$4:$C$1000)*1,("BIO"=[1]OUT_SyntheticFuels!$A$4:$A$1000)*1,("Var_Fout"=[1]OUT_SyntheticFuels!$B$4:$B$1000)*1,[1]OUT_SyntheticFuels!G$4:G$1000)</f>
        <v>5.2984817034521816</v>
      </c>
      <c r="I615" s="1" cm="1">
        <f t="array" ref="I615">SUMPRODUCT(("SUP_WSTBIO"=[1]OUT_SyntheticFuels!$C$4:$C$1000)*1,("BIO"=[1]OUT_SyntheticFuels!$A$4:$A$1000)*1,("Var_Fout"=[1]OUT_SyntheticFuels!$B$4:$B$1000)*1,[1]OUT_SyntheticFuels!H$4:H$1000)</f>
        <v>6.9211544317700699</v>
      </c>
      <c r="J615" s="1" cm="1">
        <f t="array" ref="J615">SUMPRODUCT(("SUP_WSTBIO"=[1]OUT_SyntheticFuels!$C$4:$C$1000)*1,("BIO"=[1]OUT_SyntheticFuels!$A$4:$A$1000)*1,("Var_Fout"=[1]OUT_SyntheticFuels!$B$4:$B$1000)*1,[1]OUT_SyntheticFuels!I$4:I$1000)</f>
        <v>8.4081064307242386</v>
      </c>
      <c r="K615" s="1" cm="1">
        <f t="array" ref="K615">SUMPRODUCT(("SUP_WSTBIO"=[1]OUT_SyntheticFuels!$C$4:$C$1000)*1,("BIO"=[1]OUT_SyntheticFuels!$A$4:$A$1000)*1,("Var_Fout"=[1]OUT_SyntheticFuels!$B$4:$B$1000)*1,[1]OUT_SyntheticFuels!J$4:J$1000)</f>
        <v>9.8447562020270265</v>
      </c>
    </row>
    <row r="616" spans="2:11" x14ac:dyDescent="0.35">
      <c r="B616" s="5" t="str">
        <f t="shared" si="350"/>
        <v>SPS2</v>
      </c>
      <c r="C616" s="5" t="s">
        <v>7</v>
      </c>
      <c r="D616" t="s">
        <v>316</v>
      </c>
      <c r="E616" s="5" t="s">
        <v>8</v>
      </c>
      <c r="F616" s="1" cm="1">
        <f t="array" ref="F616">SUMPRODUCT(("SUP_WSTBIOCCS"=[1]OUT_SyntheticFuels!$C$4:$C$1000)*1,("BIO"=[1]OUT_SyntheticFuels!$A$4:$A$1000)*1,("Var_Fout"=[1]OUT_SyntheticFuels!$B$4:$B$1000)*1,[1]OUT_SyntheticFuels!E$4:E$1000)</f>
        <v>0</v>
      </c>
      <c r="G616" s="1" cm="1">
        <f t="array" ref="G616">SUMPRODUCT(("SUP_WSTBIOCCS"=[1]OUT_SyntheticFuels!$C$4:$C$1000)*1,("BIO"=[1]OUT_SyntheticFuels!$A$4:$A$1000)*1,("Var_Fout"=[1]OUT_SyntheticFuels!$B$4:$B$1000)*1,[1]OUT_SyntheticFuels!F$4:F$1000)</f>
        <v>0</v>
      </c>
      <c r="H616" s="1" cm="1">
        <f t="array" ref="H616">SUMPRODUCT(("SUP_WSTBIOCCS"=[1]OUT_SyntheticFuels!$C$4:$C$1000)*1,("BIO"=[1]OUT_SyntheticFuels!$A$4:$A$1000)*1,("Var_Fout"=[1]OUT_SyntheticFuels!$B$4:$B$1000)*1,[1]OUT_SyntheticFuels!G$4:G$1000)</f>
        <v>0</v>
      </c>
      <c r="I616" s="1" cm="1">
        <f t="array" ref="I616">SUMPRODUCT(("SUP_WSTBIOCCS"=[1]OUT_SyntheticFuels!$C$4:$C$1000)*1,("BIO"=[1]OUT_SyntheticFuels!$A$4:$A$1000)*1,("Var_Fout"=[1]OUT_SyntheticFuels!$B$4:$B$1000)*1,[1]OUT_SyntheticFuels!H$4:H$1000)</f>
        <v>0</v>
      </c>
      <c r="J616" s="1" cm="1">
        <f t="array" ref="J616">SUMPRODUCT(("SUP_WSTBIOCCS"=[1]OUT_SyntheticFuels!$C$4:$C$1000)*1,("BIO"=[1]OUT_SyntheticFuels!$A$4:$A$1000)*1,("Var_Fout"=[1]OUT_SyntheticFuels!$B$4:$B$1000)*1,[1]OUT_SyntheticFuels!I$4:I$1000)</f>
        <v>0</v>
      </c>
      <c r="K616" s="1" cm="1">
        <f t="array" ref="K616">SUMPRODUCT(("SUP_WSTBIOCCS"=[1]OUT_SyntheticFuels!$C$4:$C$1000)*1,("BIO"=[1]OUT_SyntheticFuels!$A$4:$A$1000)*1,("Var_Fout"=[1]OUT_SyntheticFuels!$B$4:$B$1000)*1,[1]OUT_SyntheticFuels!J$4:J$1000)</f>
        <v>0</v>
      </c>
    </row>
    <row r="617" spans="2:11" x14ac:dyDescent="0.35">
      <c r="B617" s="5" t="str">
        <f t="shared" si="350"/>
        <v>SPS2</v>
      </c>
      <c r="C617" s="5" t="s">
        <v>7</v>
      </c>
      <c r="D617" t="s">
        <v>318</v>
      </c>
      <c r="E617" s="5" t="s">
        <v>8</v>
      </c>
      <c r="F617" s="1" cm="1">
        <f t="array" ref="F617">SUMPRODUCT(("SUP_WSTHTGBIO"=[1]OUT_SyntheticFuels!$C$4:$C$1000)*1,("BIO"=[1]OUT_SyntheticFuels!$A$4:$A$1000)*1,("Var_Fout"=[1]OUT_SyntheticFuels!$B$4:$B$1000)*1,[1]OUT_SyntheticFuels!E$4:E$1000)</f>
        <v>0</v>
      </c>
      <c r="G617" s="1" cm="1">
        <f t="array" ref="G617">SUMPRODUCT(("SUP_WSTHTGBIO"=[1]OUT_SyntheticFuels!$C$4:$C$1000)*1,("BIO"=[1]OUT_SyntheticFuels!$A$4:$A$1000)*1,("Var_Fout"=[1]OUT_SyntheticFuels!$B$4:$B$1000)*1,[1]OUT_SyntheticFuels!F$4:F$1000)</f>
        <v>0</v>
      </c>
      <c r="H617" s="1" cm="1">
        <f t="array" ref="H617">SUMPRODUCT(("SUP_WSTHTGBIO"=[1]OUT_SyntheticFuels!$C$4:$C$1000)*1,("BIO"=[1]OUT_SyntheticFuels!$A$4:$A$1000)*1,("Var_Fout"=[1]OUT_SyntheticFuels!$B$4:$B$1000)*1,[1]OUT_SyntheticFuels!G$4:G$1000)</f>
        <v>0</v>
      </c>
      <c r="I617" s="1" cm="1">
        <f t="array" ref="I617">SUMPRODUCT(("SUP_WSTHTGBIO"=[1]OUT_SyntheticFuels!$C$4:$C$1000)*1,("BIO"=[1]OUT_SyntheticFuels!$A$4:$A$1000)*1,("Var_Fout"=[1]OUT_SyntheticFuels!$B$4:$B$1000)*1,[1]OUT_SyntheticFuels!H$4:H$1000)</f>
        <v>0</v>
      </c>
      <c r="J617" s="1" cm="1">
        <f t="array" ref="J617">SUMPRODUCT(("SUP_WSTHTGBIO"=[1]OUT_SyntheticFuels!$C$4:$C$1000)*1,("BIO"=[1]OUT_SyntheticFuels!$A$4:$A$1000)*1,("Var_Fout"=[1]OUT_SyntheticFuels!$B$4:$B$1000)*1,[1]OUT_SyntheticFuels!I$4:I$1000)</f>
        <v>0.10075172905261215</v>
      </c>
      <c r="K617" s="1" cm="1">
        <f t="array" ref="K617">SUMPRODUCT(("SUP_WSTHTGBIO"=[1]OUT_SyntheticFuels!$C$4:$C$1000)*1,("BIO"=[1]OUT_SyntheticFuels!$A$4:$A$1000)*1,("Var_Fout"=[1]OUT_SyntheticFuels!$B$4:$B$1000)*1,[1]OUT_SyntheticFuels!J$4:J$1000)</f>
        <v>0.10253382822148722</v>
      </c>
    </row>
    <row r="618" spans="2:11" x14ac:dyDescent="0.35">
      <c r="B618" s="5" t="str">
        <f t="shared" si="350"/>
        <v>SPS2</v>
      </c>
      <c r="C618" s="5" t="s">
        <v>7</v>
      </c>
      <c r="D618" t="s">
        <v>317</v>
      </c>
      <c r="E618" s="5" t="s">
        <v>8</v>
      </c>
      <c r="F618" s="1" cm="1">
        <f t="array" ref="F618">SUMPRODUCT(("SUP_WSTHTGBIOCCS"=[1]OUT_SyntheticFuels!$C$4:$C$1000)*1,("BIO"=[1]OUT_SyntheticFuels!$A$4:$A$1000)*1,("Var_Fout"=[1]OUT_SyntheticFuels!$B$4:$B$1000)*1,[1]OUT_SyntheticFuels!E$4:E$1000)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SUMPRODUCT(("SUP_WSTHTGBIOCCS"=[1]OUT_SyntheticFuels!$C$4:$C$1000)*1,("BIO"=[1]OUT_SyntheticFuels!$A$4:$A$1000)*1,("Var_Fout"=[1]OUT_SyntheticFuels!$B$4:$B$1000)*1,[1]OUT_SyntheticFuels!F$4:F$1000)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SUMPRODUCT(("SUP_WSTHTGBIOCCS"=[1]OUT_SyntheticFuels!$C$4:$C$1000)*1,("BIO"=[1]OUT_SyntheticFuels!$A$4:$A$1000)*1,("Var_Fout"=[1]OUT_SyntheticFuels!$B$4:$B$1000)*1,[1]OUT_SyntheticFuels!G$4:G$1000)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SUMPRODUCT(("SUP_WSTHTGBIOCCS"=[1]OUT_SyntheticFuels!$C$4:$C$1000)*1,("BIO"=[1]OUT_SyntheticFuels!$A$4:$A$1000)*1,("Var_Fout"=[1]OUT_SyntheticFuels!$B$4:$B$1000)*1,[1]OUT_SyntheticFuels!H$4:H$1000)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SUMPRODUCT(("SUP_WSTHTGBIOCCS"=[1]OUT_SyntheticFuels!$C$4:$C$1000)*1,("BIO"=[1]OUT_SyntheticFuels!$A$4:$A$1000)*1,("Var_Fout"=[1]OUT_SyntheticFuels!$B$4:$B$1000)*1,[1]OUT_SyntheticFuels!I$4:I$1000)</f>
        <v>4.6975097474855076E-4</v>
      </c>
      <c r="K618" s="1" cm="1">
        <f t="array" ref="K618">SUMPRODUCT(("SUP_WSTHTGBIOCCS"=[1]OUT_SyntheticFuels!$C$4:$C$1000)*1,("BIO"=[1]OUT_SyntheticFuels!$A$4:$A$1000)*1,("Var_Fout"=[1]OUT_SyntheticFuels!$B$4:$B$1000)*1,[1]OUT_SyntheticFuels!J$4:J$1000)</f>
        <v>1.4410860968588544E-2</v>
      </c>
    </row>
    <row r="619" spans="2:11" x14ac:dyDescent="0.35">
      <c r="B619" s="5" t="str">
        <f t="shared" si="350"/>
        <v>SPS2</v>
      </c>
      <c r="C619" s="5" t="s">
        <v>7</v>
      </c>
      <c r="D619" t="s">
        <v>910</v>
      </c>
      <c r="E619" s="5" t="s">
        <v>8</v>
      </c>
      <c r="F619" s="1">
        <f>[1]Other_transformation!B$21</f>
        <v>0</v>
      </c>
      <c r="G619" s="1">
        <f>[1]Other_transformation!C$21</f>
        <v>1.0391933113413465E-3</v>
      </c>
      <c r="H619" s="1">
        <f>[1]Other_transformation!D$21</f>
        <v>4.5232740710757501E-4</v>
      </c>
      <c r="I619" s="1">
        <f>[1]Other_transformation!E$21</f>
        <v>8.0414306142837493E-3</v>
      </c>
      <c r="J619" s="1">
        <f>[1]Other_transformation!F$21</f>
        <v>0.97597900827493322</v>
      </c>
      <c r="K619" s="1">
        <f>[1]Other_transformation!G$21</f>
        <v>1.5359391637052635</v>
      </c>
    </row>
    <row r="620" spans="2:11" x14ac:dyDescent="0.35">
      <c r="B620" s="5" t="str">
        <f t="shared" si="350"/>
        <v>SPS2</v>
      </c>
      <c r="C620" s="5" t="s">
        <v>7</v>
      </c>
      <c r="D620" t="s">
        <v>319</v>
      </c>
      <c r="E620" s="5" t="s">
        <v>8</v>
      </c>
      <c r="F620" s="1" cm="1">
        <f t="array" ref="F620">SUMPRODUCT(("SUP_WODBIO"=[1]OUT_SyntheticFuels!$C$4:$C$1000)*1,("BIO"=[1]OUT_SyntheticFuels!$A$4:$A$1000)*1,("Var_Fout"=[1]OUT_SyntheticFuels!$B$4:$B$1000)*1,[1]OUT_SyntheticFuels!E$4:E$1000)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SUMPRODUCT(("SUP_WODBIO"=[1]OUT_SyntheticFuels!$C$4:$C$1000)*1,("BIO"=[1]OUT_SyntheticFuels!$A$4:$A$1000)*1,("Var_Fout"=[1]OUT_SyntheticFuels!$B$4:$B$1000)*1,[1]OUT_SyntheticFuels!F$4:F$1000)</f>
        <v>1.0391933113413465E-3</v>
      </c>
      <c r="H620" s="1" cm="1">
        <f t="array" ref="H620">SUMPRODUCT(("SUP_WODBIO"=[1]OUT_SyntheticFuels!$C$4:$C$1000)*1,("BIO"=[1]OUT_SyntheticFuels!$A$4:$A$1000)*1,("Var_Fout"=[1]OUT_SyntheticFuels!$B$4:$B$1000)*1,[1]OUT_SyntheticFuels!G$4:G$1000)</f>
        <v>4.5232740710757501E-4</v>
      </c>
      <c r="I620" s="1" cm="1">
        <f t="array" ref="I620">SUMPRODUCT(("SUP_WODBIO"=[1]OUT_SyntheticFuels!$C$4:$C$1000)*1,("BIO"=[1]OUT_SyntheticFuels!$A$4:$A$1000)*1,("Var_Fout"=[1]OUT_SyntheticFuels!$B$4:$B$1000)*1,[1]OUT_SyntheticFuels!H$4:H$1000)</f>
        <v>8.0414306142837493E-3</v>
      </c>
      <c r="J620" s="1" cm="1">
        <f t="array" ref="J620">SUMPRODUCT(("SUP_WODBIO"=[1]OUT_SyntheticFuels!$C$4:$C$1000)*1,("BIO"=[1]OUT_SyntheticFuels!$A$4:$A$1000)*1,("Var_Fout"=[1]OUT_SyntheticFuels!$B$4:$B$1000)*1,[1]OUT_SyntheticFuels!I$4:I$1000)</f>
        <v>0.97438031162098937</v>
      </c>
      <c r="K620" s="1" cm="1">
        <f t="array" ref="K620">SUMPRODUCT(("SUP_WODBIO"=[1]OUT_SyntheticFuels!$C$4:$C$1000)*1,("BIO"=[1]OUT_SyntheticFuels!$A$4:$A$1000)*1,("Var_Fout"=[1]OUT_SyntheticFuels!$B$4:$B$1000)*1,[1]OUT_SyntheticFuels!J$4:J$1000)</f>
        <v>2.3932838096776864E-3</v>
      </c>
    </row>
    <row r="621" spans="2:11" x14ac:dyDescent="0.35">
      <c r="B621" s="5" t="str">
        <f t="shared" si="350"/>
        <v>SPS2</v>
      </c>
      <c r="C621" s="5" t="s">
        <v>7</v>
      </c>
      <c r="D621" t="s">
        <v>320</v>
      </c>
      <c r="E621" s="5" t="s">
        <v>8</v>
      </c>
      <c r="F621" s="1" cm="1">
        <f t="array" ref="F621">SUMPRODUCT(("SUP_WODBIOCCS"=[1]OUT_SyntheticFuels!$C$4:$C$1000)*1,("BIO"=[1]OUT_SyntheticFuels!$A$4:$A$1000)*1,("Var_Fout"=[1]OUT_SyntheticFuels!$B$4:$B$1000)*1,[1]OUT_SyntheticFuels!E$4:E$1000)</f>
        <v>0</v>
      </c>
      <c r="G621" s="1" cm="1">
        <f t="array" ref="G621">SUMPRODUCT(("SUP_WODBIOCCS"=[1]OUT_SyntheticFuels!$C$4:$C$1000)*1,("BIO"=[1]OUT_SyntheticFuels!$A$4:$A$1000)*1,("Var_Fout"=[1]OUT_SyntheticFuels!$B$4:$B$1000)*1,[1]OUT_SyntheticFuels!F$4:F$1000)</f>
        <v>0</v>
      </c>
      <c r="H621" s="1" cm="1">
        <f t="array" ref="H621">SUMPRODUCT(("SUP_WODBIOCCS"=[1]OUT_SyntheticFuels!$C$4:$C$1000)*1,("BIO"=[1]OUT_SyntheticFuels!$A$4:$A$1000)*1,("Var_Fout"=[1]OUT_SyntheticFuels!$B$4:$B$1000)*1,[1]OUT_SyntheticFuels!G$4:G$1000)</f>
        <v>0</v>
      </c>
      <c r="I621" s="1" cm="1">
        <f t="array" ref="I621">SUMPRODUCT(("SUP_WODBIOCCS"=[1]OUT_SyntheticFuels!$C$4:$C$1000)*1,("BIO"=[1]OUT_SyntheticFuels!$A$4:$A$1000)*1,("Var_Fout"=[1]OUT_SyntheticFuels!$B$4:$B$1000)*1,[1]OUT_SyntheticFuels!H$4:H$1000)</f>
        <v>0</v>
      </c>
      <c r="J621" s="1" cm="1">
        <f t="array" ref="J621">SUMPRODUCT(("SUP_WODBIOCCS"=[1]OUT_SyntheticFuels!$C$4:$C$1000)*1,("BIO"=[1]OUT_SyntheticFuels!$A$4:$A$1000)*1,("Var_Fout"=[1]OUT_SyntheticFuels!$B$4:$B$1000)*1,[1]OUT_SyntheticFuels!I$4:I$1000)</f>
        <v>1.5986966539438836E-3</v>
      </c>
      <c r="K621" s="1" cm="1">
        <f t="array" ref="K621">SUMPRODUCT(("SUP_WODBIOCCS"=[1]OUT_SyntheticFuels!$C$4:$C$1000)*1,("BIO"=[1]OUT_SyntheticFuels!$A$4:$A$1000)*1,("Var_Fout"=[1]OUT_SyntheticFuels!$B$4:$B$1000)*1,[1]OUT_SyntheticFuels!J$4:J$1000)</f>
        <v>1.5335458798955859</v>
      </c>
    </row>
    <row r="622" spans="2:11" x14ac:dyDescent="0.35">
      <c r="B622" s="5" t="str">
        <f t="shared" si="350"/>
        <v>SPS2</v>
      </c>
      <c r="C622" s="5" t="s">
        <v>7</v>
      </c>
      <c r="D622" s="2" t="s">
        <v>383</v>
      </c>
      <c r="E622" s="9" t="s">
        <v>8</v>
      </c>
      <c r="F622" s="3">
        <f>F623+F624+F629</f>
        <v>0.1125885069931444</v>
      </c>
      <c r="G622" s="3">
        <f t="shared" ref="G622" si="378">G623+G624+G629</f>
        <v>0.11462766630460396</v>
      </c>
      <c r="H622" s="3">
        <f t="shared" ref="H622" si="379">H623+H624+H629</f>
        <v>0.10598772716532801</v>
      </c>
      <c r="I622" s="3">
        <f t="shared" ref="I622" si="380">I623+I624+I629</f>
        <v>0.1387447458599729</v>
      </c>
      <c r="J622" s="3">
        <f t="shared" ref="J622" si="381">J623+J624+J629</f>
        <v>0.20720368088183139</v>
      </c>
      <c r="K622" s="3">
        <f t="shared" ref="K622" si="382">K623+K624+K629</f>
        <v>0.25833460872302882</v>
      </c>
    </row>
    <row r="623" spans="2:11" x14ac:dyDescent="0.35">
      <c r="B623" s="5" t="str">
        <f t="shared" si="350"/>
        <v>SPS2</v>
      </c>
      <c r="C623" s="5" t="s">
        <v>7</v>
      </c>
      <c r="D623" t="s">
        <v>329</v>
      </c>
      <c r="E623" s="5" t="s">
        <v>8</v>
      </c>
      <c r="F623" s="1" cm="1">
        <f t="array" ref="F623">SUMPRODUCT(("SUP_MNRBIO"=[1]OUT_SyntheticFuels!$C$4:$C$1000)*1,("Var_Fout"=[1]OUT_SyntheticFuels!$B$4:$B$1000)*1,("ELC35"=[1]OUT_SyntheticFuels!$A$4:$A$1000)*1,[1]OUT_SyntheticFuels!E$4:E$1000)</f>
        <v>0</v>
      </c>
      <c r="G623" s="1" cm="1">
        <f t="array" ref="G623">SUMPRODUCT(("SUP_MNRBIO"=[1]OUT_SyntheticFuels!$C$4:$C$1000)*1,("Var_Fout"=[1]OUT_SyntheticFuels!$B$4:$B$1000)*1,("ELC35"=[1]OUT_SyntheticFuels!$A$4:$A$1000)*1,[1]OUT_SyntheticFuels!F$4:F$1000)</f>
        <v>0</v>
      </c>
      <c r="H623" s="1" cm="1">
        <f t="array" ref="H623">SUMPRODUCT(("SUP_MNRBIO"=[1]OUT_SyntheticFuels!$C$4:$C$1000)*1,("Var_Fout"=[1]OUT_SyntheticFuels!$B$4:$B$1000)*1,("ELC35"=[1]OUT_SyntheticFuels!$A$4:$A$1000)*1,[1]OUT_SyntheticFuels!G$4:G$1000)</f>
        <v>0</v>
      </c>
      <c r="I623" s="1" cm="1">
        <f t="array" ref="I623">SUMPRODUCT(("SUP_MNRBIO"=[1]OUT_SyntheticFuels!$C$4:$C$1000)*1,("Var_Fout"=[1]OUT_SyntheticFuels!$B$4:$B$1000)*1,("ELC35"=[1]OUT_SyntheticFuels!$A$4:$A$1000)*1,[1]OUT_SyntheticFuels!H$4:H$1000)</f>
        <v>0</v>
      </c>
      <c r="J623" s="1" cm="1">
        <f t="array" ref="J623">SUMPRODUCT(("SUP_MNRBIO"=[1]OUT_SyntheticFuels!$C$4:$C$1000)*1,("Var_Fout"=[1]OUT_SyntheticFuels!$B$4:$B$1000)*1,("ELC35"=[1]OUT_SyntheticFuels!$A$4:$A$1000)*1,[1]OUT_SyntheticFuels!I$4:I$1000)</f>
        <v>0</v>
      </c>
      <c r="K623" s="1" cm="1">
        <f t="array" ref="K623">SUMPRODUCT(("SUP_MNRBIO"=[1]OUT_SyntheticFuels!$C$4:$C$1000)*1,("Var_Fout"=[1]OUT_SyntheticFuels!$B$4:$B$1000)*1,("ELC35"=[1]OUT_SyntheticFuels!$A$4:$A$1000)*1,[1]OUT_SyntheticFuels!J$4:J$1000)</f>
        <v>0</v>
      </c>
    </row>
    <row r="624" spans="2:11" x14ac:dyDescent="0.35">
      <c r="B624" s="5" t="str">
        <f t="shared" si="350"/>
        <v>SPS2</v>
      </c>
      <c r="C624" s="5" t="s">
        <v>7</v>
      </c>
      <c r="D624" t="s">
        <v>330</v>
      </c>
      <c r="E624" s="5" t="s">
        <v>8</v>
      </c>
      <c r="F624" s="1">
        <f>SUM(F625:F628)</f>
        <v>0.1125885069931444</v>
      </c>
      <c r="G624" s="1">
        <f t="shared" ref="G624:K624" si="383">SUM(G625:G628)</f>
        <v>0.1145860985721503</v>
      </c>
      <c r="H624" s="1">
        <f t="shared" si="383"/>
        <v>0.10596963406904371</v>
      </c>
      <c r="I624" s="1">
        <f t="shared" si="383"/>
        <v>0.13842308863540156</v>
      </c>
      <c r="J624" s="1">
        <f t="shared" si="383"/>
        <v>0.1681621286144849</v>
      </c>
      <c r="K624" s="1">
        <f t="shared" si="383"/>
        <v>0.19689512404054046</v>
      </c>
    </row>
    <row r="625" spans="2:11" x14ac:dyDescent="0.35">
      <c r="B625" s="5" t="str">
        <f t="shared" si="350"/>
        <v>SPS2</v>
      </c>
      <c r="C625" s="5" t="s">
        <v>7</v>
      </c>
      <c r="D625" t="s">
        <v>331</v>
      </c>
      <c r="E625" s="5" t="s">
        <v>8</v>
      </c>
      <c r="F625" s="1" cm="1">
        <f t="array" ref="F625">SUMPRODUCT(("SUP_WSTBIO"=[1]OUT_SyntheticFuels!$C$4:$C$1000)*1,("elc35"=[1]OUT_SyntheticFuels!$A$4:$A$1000)*1,("Var_Fout"=[1]OUT_SyntheticFuels!$B$4:$B$1000)*1,[1]OUT_SyntheticFuels!E$4:E$1000)</f>
        <v>0.1125885069931444</v>
      </c>
      <c r="G625" s="1" cm="1">
        <f t="array" ref="G625">SUMPRODUCT(("SUP_WSTBIO"=[1]OUT_SyntheticFuels!$C$4:$C$1000)*1,("elc35"=[1]OUT_SyntheticFuels!$A$4:$A$1000)*1,("Var_Fout"=[1]OUT_SyntheticFuels!$B$4:$B$1000)*1,[1]OUT_SyntheticFuels!F$4:F$1000)</f>
        <v>0.1145860985721503</v>
      </c>
      <c r="H625" s="1" cm="1">
        <f t="array" ref="H625">SUMPRODUCT(("SUP_WSTBIO"=[1]OUT_SyntheticFuels!$C$4:$C$1000)*1,("elc35"=[1]OUT_SyntheticFuels!$A$4:$A$1000)*1,("Var_Fout"=[1]OUT_SyntheticFuels!$B$4:$B$1000)*1,[1]OUT_SyntheticFuels!G$4:G$1000)</f>
        <v>0.10596963406904371</v>
      </c>
      <c r="I625" s="1" cm="1">
        <f t="array" ref="I625">SUMPRODUCT(("SUP_WSTBIO"=[1]OUT_SyntheticFuels!$C$4:$C$1000)*1,("elc35"=[1]OUT_SyntheticFuels!$A$4:$A$1000)*1,("Var_Fout"=[1]OUT_SyntheticFuels!$B$4:$B$1000)*1,[1]OUT_SyntheticFuels!H$4:H$1000)</f>
        <v>0.13842308863540156</v>
      </c>
      <c r="J625" s="1" cm="1">
        <f t="array" ref="J625">SUMPRODUCT(("SUP_WSTBIO"=[1]OUT_SyntheticFuels!$C$4:$C$1000)*1,("elc35"=[1]OUT_SyntheticFuels!$A$4:$A$1000)*1,("Var_Fout"=[1]OUT_SyntheticFuels!$B$4:$B$1000)*1,[1]OUT_SyntheticFuels!I$4:I$1000)</f>
        <v>0.1681621286144849</v>
      </c>
      <c r="K625" s="1" cm="1">
        <f t="array" ref="K625">SUMPRODUCT(("SUP_WSTBIO"=[1]OUT_SyntheticFuels!$C$4:$C$1000)*1,("elc35"=[1]OUT_SyntheticFuels!$A$4:$A$1000)*1,("Var_Fout"=[1]OUT_SyntheticFuels!$B$4:$B$1000)*1,[1]OUT_SyntheticFuels!J$4:J$1000)</f>
        <v>0.19689512404054046</v>
      </c>
    </row>
    <row r="626" spans="2:11" x14ac:dyDescent="0.35">
      <c r="B626" s="5" t="str">
        <f t="shared" si="350"/>
        <v>SPS2</v>
      </c>
      <c r="C626" s="5" t="s">
        <v>7</v>
      </c>
      <c r="D626" t="s">
        <v>332</v>
      </c>
      <c r="E626" s="5" t="s">
        <v>8</v>
      </c>
      <c r="F626" s="1" cm="1">
        <f t="array" ref="F626">SUMPRODUCT(("SUP_WSTBIOCCS"=[1]OUT_SyntheticFuels!$C$4:$C$1000)*1,("elc35"=[1]OUT_SyntheticFuels!$A$4:$A$1000)*1,("Var_Fout"=[1]OUT_SyntheticFuels!$B$4:$B$1000)*1,[1]OUT_SyntheticFuels!E$4:E$1000)</f>
        <v>0</v>
      </c>
      <c r="G626" s="1" cm="1">
        <f t="array" ref="G626">SUMPRODUCT(("SUP_WSTBIOCCS"=[1]OUT_SyntheticFuels!$C$4:$C$1000)*1,("elc35"=[1]OUT_SyntheticFuels!$A$4:$A$1000)*1,("Var_Fout"=[1]OUT_SyntheticFuels!$B$4:$B$1000)*1,[1]OUT_SyntheticFuels!F$4:F$1000)</f>
        <v>0</v>
      </c>
      <c r="H626" s="1" cm="1">
        <f t="array" ref="H626">SUMPRODUCT(("SUP_WSTBIOCCS"=[1]OUT_SyntheticFuels!$C$4:$C$1000)*1,("elc35"=[1]OUT_SyntheticFuels!$A$4:$A$1000)*1,("Var_Fout"=[1]OUT_SyntheticFuels!$B$4:$B$1000)*1,[1]OUT_SyntheticFuels!G$4:G$1000)</f>
        <v>0</v>
      </c>
      <c r="I626" s="1" cm="1">
        <f t="array" ref="I626">SUMPRODUCT(("SUP_WSTBIOCCS"=[1]OUT_SyntheticFuels!$C$4:$C$1000)*1,("elc35"=[1]OUT_SyntheticFuels!$A$4:$A$1000)*1,("Var_Fout"=[1]OUT_SyntheticFuels!$B$4:$B$1000)*1,[1]OUT_SyntheticFuels!H$4:H$1000)</f>
        <v>0</v>
      </c>
      <c r="J626" s="1" cm="1">
        <f t="array" ref="J626">SUMPRODUCT(("SUP_WSTBIOCCS"=[1]OUT_SyntheticFuels!$C$4:$C$1000)*1,("elc35"=[1]OUT_SyntheticFuels!$A$4:$A$1000)*1,("Var_Fout"=[1]OUT_SyntheticFuels!$B$4:$B$1000)*1,[1]OUT_SyntheticFuels!I$4:I$1000)</f>
        <v>0</v>
      </c>
      <c r="K626" s="1" cm="1">
        <f t="array" ref="K626">SUMPRODUCT(("SUP_WSTBIOCCS"=[1]OUT_SyntheticFuels!$C$4:$C$1000)*1,("elc35"=[1]OUT_SyntheticFuels!$A$4:$A$1000)*1,("Var_Fout"=[1]OUT_SyntheticFuels!$B$4:$B$1000)*1,[1]OUT_SyntheticFuels!J$4:J$1000)</f>
        <v>0</v>
      </c>
    </row>
    <row r="627" spans="2:11" x14ac:dyDescent="0.35">
      <c r="B627" s="5" t="str">
        <f t="shared" si="350"/>
        <v>SPS2</v>
      </c>
      <c r="C627" s="5" t="s">
        <v>7</v>
      </c>
      <c r="D627" t="s">
        <v>333</v>
      </c>
      <c r="E627" s="5" t="s">
        <v>8</v>
      </c>
      <c r="F627" s="1" cm="1">
        <f t="array" ref="F627">SUMPRODUCT(("SUP_WSTHTGBIO"=[1]OUT_SyntheticFuels!$C$4:$C$1000)*1,("elc35"=[1]OUT_SyntheticFuels!$A$4:$A$1000)*1,("Var_Fout"=[1]OUT_SyntheticFuels!$B$4:$B$1000)*1,[1]OUT_SyntheticFuels!E$4:E$1000)</f>
        <v>0</v>
      </c>
      <c r="G627" s="1" cm="1">
        <f t="array" ref="G627">SUMPRODUCT(("SUP_WSTHTGBIO"=[1]OUT_SyntheticFuels!$C$4:$C$1000)*1,("elc35"=[1]OUT_SyntheticFuels!$A$4:$A$1000)*1,("Var_Fout"=[1]OUT_SyntheticFuels!$B$4:$B$1000)*1,[1]OUT_SyntheticFuels!F$4:F$1000)</f>
        <v>0</v>
      </c>
      <c r="H627" s="1" cm="1">
        <f t="array" ref="H627">SUMPRODUCT(("SUP_WSTHTGBIO"=[1]OUT_SyntheticFuels!$C$4:$C$1000)*1,("elc35"=[1]OUT_SyntheticFuels!$A$4:$A$1000)*1,("Var_Fout"=[1]OUT_SyntheticFuels!$B$4:$B$1000)*1,[1]OUT_SyntheticFuels!G$4:G$1000)</f>
        <v>0</v>
      </c>
      <c r="I627" s="1" cm="1">
        <f t="array" ref="I627">SUMPRODUCT(("SUP_WSTHTGBIO"=[1]OUT_SyntheticFuels!$C$4:$C$1000)*1,("elc35"=[1]OUT_SyntheticFuels!$A$4:$A$1000)*1,("Var_Fout"=[1]OUT_SyntheticFuels!$B$4:$B$1000)*1,[1]OUT_SyntheticFuels!H$4:H$1000)</f>
        <v>0</v>
      </c>
      <c r="J627" s="1" cm="1">
        <f t="array" ref="J627">SUMPRODUCT(("SUP_WSTHTGBIO"=[1]OUT_SyntheticFuels!$C$4:$C$1000)*1,("elc35"=[1]OUT_SyntheticFuels!$A$4:$A$1000)*1,("Var_Fout"=[1]OUT_SyntheticFuels!$B$4:$B$1000)*1,[1]OUT_SyntheticFuels!I$4:I$1000)</f>
        <v>0</v>
      </c>
      <c r="K627" s="1" cm="1">
        <f t="array" ref="K627">SUMPRODUCT(("SUP_WSTHTGBIO"=[1]OUT_SyntheticFuels!$C$4:$C$1000)*1,("elc35"=[1]OUT_SyntheticFuels!$A$4:$A$1000)*1,("Var_Fout"=[1]OUT_SyntheticFuels!$B$4:$B$1000)*1,[1]OUT_SyntheticFuels!J$4:J$1000)</f>
        <v>0</v>
      </c>
    </row>
    <row r="628" spans="2:11" x14ac:dyDescent="0.35">
      <c r="B628" s="5" t="str">
        <f t="shared" ref="B628:B691" si="384">B627</f>
        <v>SPS2</v>
      </c>
      <c r="C628" s="5" t="s">
        <v>7</v>
      </c>
      <c r="D628" t="s">
        <v>334</v>
      </c>
      <c r="E628" s="5" t="s">
        <v>8</v>
      </c>
      <c r="F628" s="1" cm="1">
        <f t="array" ref="F628">SUMPRODUCT(("SUP_WSTHTGBIOCCS"=[1]OUT_SyntheticFuels!$C$4:$C$1000)*1,("elc35"=[1]OUT_SyntheticFuels!$A$4:$A$1000)*1,("Var_Fout"=[1]OUT_SyntheticFuels!$B$4:$B$1000)*1,[1]OUT_SyntheticFuels!E$4:E$1000)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SUMPRODUCT(("SUP_WSTHTGBIOCCS"=[1]OUT_SyntheticFuels!$C$4:$C$1000)*1,("elc35"=[1]OUT_SyntheticFuels!$A$4:$A$1000)*1,("Var_Fout"=[1]OUT_SyntheticFuels!$B$4:$B$1000)*1,[1]OUT_SyntheticFuels!F$4:F$1000)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SUMPRODUCT(("SUP_WSTHTGBIOCCS"=[1]OUT_SyntheticFuels!$C$4:$C$1000)*1,("elc35"=[1]OUT_SyntheticFuels!$A$4:$A$1000)*1,("Var_Fout"=[1]OUT_SyntheticFuels!$B$4:$B$1000)*1,[1]OUT_SyntheticFuels!G$4:G$1000)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SUMPRODUCT(("SUP_WSTHTGBIOCCS"=[1]OUT_SyntheticFuels!$C$4:$C$1000)*1,("elc35"=[1]OUT_SyntheticFuels!$A$4:$A$1000)*1,("Var_Fout"=[1]OUT_SyntheticFuels!$B$4:$B$1000)*1,[1]OUT_SyntheticFuels!H$4:H$1000)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SUMPRODUCT(("SUP_WSTHTGBIOCCS"=[1]OUT_SyntheticFuels!$C$4:$C$1000)*1,("elc35"=[1]OUT_SyntheticFuels!$A$4:$A$1000)*1,("Var_Fout"=[1]OUT_SyntheticFuels!$B$4:$B$1000)*1,[1]OUT_SyntheticFuels!I$4:I$1000)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SUMPRODUCT(("SUP_WSTHTGBIOCCS"=[1]OUT_SyntheticFuels!$C$4:$C$1000)*1,("elc35"=[1]OUT_SyntheticFuels!$A$4:$A$1000)*1,("Var_Fout"=[1]OUT_SyntheticFuels!$B$4:$B$1000)*1,[1]OUT_SyntheticFuels!J$4:J$1000)</f>
        <v>0</v>
      </c>
    </row>
    <row r="629" spans="2:11" x14ac:dyDescent="0.35">
      <c r="B629" s="5" t="str">
        <f t="shared" si="384"/>
        <v>SPS2</v>
      </c>
      <c r="C629" s="5" t="s">
        <v>7</v>
      </c>
      <c r="D629" t="s">
        <v>911</v>
      </c>
      <c r="E629" s="5" t="s">
        <v>8</v>
      </c>
      <c r="F629" s="1">
        <f>SUM(F630:F631)</f>
        <v>0</v>
      </c>
      <c r="G629" s="1">
        <f t="shared" ref="G629:K629" si="385">SUM(G630:G631)</f>
        <v>4.156773245365398E-5</v>
      </c>
      <c r="H629" s="1">
        <f t="shared" si="385"/>
        <v>1.8093096284303035E-5</v>
      </c>
      <c r="I629" s="1">
        <f t="shared" si="385"/>
        <v>3.2165722457135054E-4</v>
      </c>
      <c r="J629" s="1">
        <f t="shared" si="385"/>
        <v>3.9041552267346478E-2</v>
      </c>
      <c r="K629" s="1">
        <f t="shared" si="385"/>
        <v>6.143948468248836E-2</v>
      </c>
    </row>
    <row r="630" spans="2:11" x14ac:dyDescent="0.35">
      <c r="B630" s="5" t="str">
        <f t="shared" si="384"/>
        <v>SPS2</v>
      </c>
      <c r="C630" s="5" t="s">
        <v>7</v>
      </c>
      <c r="D630" t="s">
        <v>335</v>
      </c>
      <c r="E630" s="5" t="s">
        <v>8</v>
      </c>
      <c r="F630" s="1" cm="1">
        <f t="array" ref="F630">SUMPRODUCT(("SUP_WODBIO"=[1]OUT_SyntheticFuels!$C$4:$C$1000)*1,("elc35"=[1]OUT_SyntheticFuels!$A$4:$A$1000)*1,("Var_Fout"=[1]OUT_SyntheticFuels!$B$4:$B$1000)*1,[1]OUT_SyntheticFuels!E$4:E$1000)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SUMPRODUCT(("SUP_WODBIO"=[1]OUT_SyntheticFuels!$C$4:$C$1000)*1,("elc35"=[1]OUT_SyntheticFuels!$A$4:$A$1000)*1,("Var_Fout"=[1]OUT_SyntheticFuels!$B$4:$B$1000)*1,[1]OUT_SyntheticFuels!F$4:F$1000)</f>
        <v>4.156773245365398E-5</v>
      </c>
      <c r="H630" s="1" cm="1">
        <f t="array" ref="H630">SUMPRODUCT(("SUP_WODBIO"=[1]OUT_SyntheticFuels!$C$4:$C$1000)*1,("elc35"=[1]OUT_SyntheticFuels!$A$4:$A$1000)*1,("Var_Fout"=[1]OUT_SyntheticFuels!$B$4:$B$1000)*1,[1]OUT_SyntheticFuels!G$4:G$1000)</f>
        <v>1.8093096284303035E-5</v>
      </c>
      <c r="I630" s="1" cm="1">
        <f t="array" ref="I630">SUMPRODUCT(("SUP_WODBIO"=[1]OUT_SyntheticFuels!$C$4:$C$1000)*1,("elc35"=[1]OUT_SyntheticFuels!$A$4:$A$1000)*1,("Var_Fout"=[1]OUT_SyntheticFuels!$B$4:$B$1000)*1,[1]OUT_SyntheticFuels!H$4:H$1000)</f>
        <v>3.2165722457135054E-4</v>
      </c>
      <c r="J630" s="1" cm="1">
        <f t="array" ref="J630">SUMPRODUCT(("SUP_WODBIO"=[1]OUT_SyntheticFuels!$C$4:$C$1000)*1,("elc35"=[1]OUT_SyntheticFuels!$A$4:$A$1000)*1,("Var_Fout"=[1]OUT_SyntheticFuels!$B$4:$B$1000)*1,[1]OUT_SyntheticFuels!I$4:I$1000)</f>
        <v>3.8975212464839634E-2</v>
      </c>
      <c r="K630" s="1" cm="1">
        <f t="array" ref="K630">SUMPRODUCT(("SUP_WODBIO"=[1]OUT_SyntheticFuels!$C$4:$C$1000)*1,("elc35"=[1]OUT_SyntheticFuels!$A$4:$A$1000)*1,("Var_Fout"=[1]OUT_SyntheticFuels!$B$4:$B$1000)*1,[1]OUT_SyntheticFuels!J$4:J$1000)</f>
        <v>9.5731352387107635E-5</v>
      </c>
    </row>
    <row r="631" spans="2:11" x14ac:dyDescent="0.35">
      <c r="B631" s="5" t="str">
        <f t="shared" si="384"/>
        <v>SPS2</v>
      </c>
      <c r="C631" s="5" t="s">
        <v>7</v>
      </c>
      <c r="D631" t="s">
        <v>336</v>
      </c>
      <c r="E631" s="5" t="s">
        <v>8</v>
      </c>
      <c r="F631" s="1" cm="1">
        <f t="array" ref="F631">SUMPRODUCT(("SUP_WODBIOCCS"=[1]OUT_SyntheticFuels!$C$4:$C$1000)*1,("elc35"=[1]OUT_SyntheticFuels!$A$4:$A$1000)*1,("Var_Fout"=[1]OUT_SyntheticFuels!$B$4:$B$1000)*1,[1]OUT_SyntheticFuels!E$4:E$1000)</f>
        <v>0</v>
      </c>
      <c r="G631" s="1" cm="1">
        <f t="array" ref="G631">SUMPRODUCT(("SUP_WODBIOCCS"=[1]OUT_SyntheticFuels!$C$4:$C$1000)*1,("elc35"=[1]OUT_SyntheticFuels!$A$4:$A$1000)*1,("Var_Fout"=[1]OUT_SyntheticFuels!$B$4:$B$1000)*1,[1]OUT_SyntheticFuels!F$4:F$1000)</f>
        <v>0</v>
      </c>
      <c r="H631" s="1" cm="1">
        <f t="array" ref="H631">SUMPRODUCT(("SUP_WODBIOCCS"=[1]OUT_SyntheticFuels!$C$4:$C$1000)*1,("elc35"=[1]OUT_SyntheticFuels!$A$4:$A$1000)*1,("Var_Fout"=[1]OUT_SyntheticFuels!$B$4:$B$1000)*1,[1]OUT_SyntheticFuels!G$4:G$1000)</f>
        <v>0</v>
      </c>
      <c r="I631" s="1" cm="1">
        <f t="array" ref="I631">SUMPRODUCT(("SUP_WODBIOCCS"=[1]OUT_SyntheticFuels!$C$4:$C$1000)*1,("elc35"=[1]OUT_SyntheticFuels!$A$4:$A$1000)*1,("Var_Fout"=[1]OUT_SyntheticFuels!$B$4:$B$1000)*1,[1]OUT_SyntheticFuels!H$4:H$1000)</f>
        <v>0</v>
      </c>
      <c r="J631" s="1" cm="1">
        <f t="array" ref="J631">SUMPRODUCT(("SUP_WODBIOCCS"=[1]OUT_SyntheticFuels!$C$4:$C$1000)*1,("elc35"=[1]OUT_SyntheticFuels!$A$4:$A$1000)*1,("Var_Fout"=[1]OUT_SyntheticFuels!$B$4:$B$1000)*1,[1]OUT_SyntheticFuels!I$4:I$1000)</f>
        <v>6.6339802506846189E-5</v>
      </c>
      <c r="K631" s="1" cm="1">
        <f t="array" ref="K631">SUMPRODUCT(("SUP_WODBIOCCS"=[1]OUT_SyntheticFuels!$C$4:$C$1000)*1,("elc35"=[1]OUT_SyntheticFuels!$A$4:$A$1000)*1,("Var_Fout"=[1]OUT_SyntheticFuels!$B$4:$B$1000)*1,[1]OUT_SyntheticFuels!J$4:J$1000)</f>
        <v>6.1343753330101253E-2</v>
      </c>
    </row>
    <row r="632" spans="2:11" x14ac:dyDescent="0.35">
      <c r="B632" s="5" t="str">
        <f t="shared" si="384"/>
        <v>SPS2</v>
      </c>
      <c r="C632" s="5" t="s">
        <v>7</v>
      </c>
      <c r="D632" s="2" t="s">
        <v>385</v>
      </c>
      <c r="E632" s="9" t="s">
        <v>8</v>
      </c>
      <c r="F632" s="3">
        <f>F633+F634+F639</f>
        <v>0</v>
      </c>
      <c r="G632" s="3">
        <f t="shared" ref="G632" si="386">G633+G634+G639</f>
        <v>1.2470319736096157E-4</v>
      </c>
      <c r="H632" s="3">
        <f t="shared" ref="H632" si="387">H633+H634+H639</f>
        <v>5.4279288852909012E-5</v>
      </c>
      <c r="I632" s="3">
        <f t="shared" ref="I632" si="388">I633+I634+I639</f>
        <v>9.6497167371405092E-4</v>
      </c>
      <c r="J632" s="3">
        <f t="shared" ref="J632" si="389">J633+J634+J639</f>
        <v>0.11712060994127724</v>
      </c>
      <c r="K632" s="3">
        <f t="shared" ref="K632" si="390">K633+K634+K639</f>
        <v>0.18431520188745654</v>
      </c>
    </row>
    <row r="633" spans="2:11" x14ac:dyDescent="0.35">
      <c r="B633" s="5" t="str">
        <f t="shared" si="384"/>
        <v>SPS2</v>
      </c>
      <c r="C633" s="5" t="s">
        <v>7</v>
      </c>
      <c r="D633" t="s">
        <v>337</v>
      </c>
      <c r="E633" s="5" t="s">
        <v>8</v>
      </c>
      <c r="F633" s="1" cm="1">
        <f t="array" ref="F633">SUMPRODUCT(("SUP_MNRBIO"=[1]OUT_SyntheticFuels!$C$4:$C$1000)*1,("Var_Fout"=[1]OUT_SyntheticFuels!$B$4:$B$1000)*1,("LTH"=[1]OUT_SyntheticFuels!$A$4:$A$1000)*1,[1]OUT_SyntheticFuels!E$4:E$1000)</f>
        <v>0</v>
      </c>
      <c r="G633" s="1" cm="1">
        <f t="array" ref="G633">SUMPRODUCT(("SUP_MNRBIO"=[1]OUT_SyntheticFuels!$C$4:$C$1000)*1,("Var_Fout"=[1]OUT_SyntheticFuels!$B$4:$B$1000)*1,("LTH"=[1]OUT_SyntheticFuels!$A$4:$A$1000)*1,[1]OUT_SyntheticFuels!F$4:F$1000)</f>
        <v>0</v>
      </c>
      <c r="H633" s="1" cm="1">
        <f t="array" ref="H633">SUMPRODUCT(("SUP_MNRBIO"=[1]OUT_SyntheticFuels!$C$4:$C$1000)*1,("Var_Fout"=[1]OUT_SyntheticFuels!$B$4:$B$1000)*1,("LTH"=[1]OUT_SyntheticFuels!$A$4:$A$1000)*1,[1]OUT_SyntheticFuels!G$4:G$1000)</f>
        <v>0</v>
      </c>
      <c r="I633" s="1" cm="1">
        <f t="array" ref="I633">SUMPRODUCT(("SUP_MNRBIO"=[1]OUT_SyntheticFuels!$C$4:$C$1000)*1,("Var_Fout"=[1]OUT_SyntheticFuels!$B$4:$B$1000)*1,("LTH"=[1]OUT_SyntheticFuels!$A$4:$A$1000)*1,[1]OUT_SyntheticFuels!H$4:H$1000)</f>
        <v>0</v>
      </c>
      <c r="J633" s="1" cm="1">
        <f t="array" ref="J633">SUMPRODUCT(("SUP_MNRBIO"=[1]OUT_SyntheticFuels!$C$4:$C$1000)*1,("Var_Fout"=[1]OUT_SyntheticFuels!$B$4:$B$1000)*1,("LTH"=[1]OUT_SyntheticFuels!$A$4:$A$1000)*1,[1]OUT_SyntheticFuels!I$4:I$1000)</f>
        <v>0</v>
      </c>
      <c r="K633" s="1" cm="1">
        <f t="array" ref="K633">SUMPRODUCT(("SUP_MNRBIO"=[1]OUT_SyntheticFuels!$C$4:$C$1000)*1,("Var_Fout"=[1]OUT_SyntheticFuels!$B$4:$B$1000)*1,("LTH"=[1]OUT_SyntheticFuels!$A$4:$A$1000)*1,[1]OUT_SyntheticFuels!J$4:J$1000)</f>
        <v>0</v>
      </c>
    </row>
    <row r="634" spans="2:11" x14ac:dyDescent="0.35">
      <c r="B634" s="5" t="str">
        <f t="shared" si="384"/>
        <v>SPS2</v>
      </c>
      <c r="C634" s="5" t="s">
        <v>7</v>
      </c>
      <c r="D634" t="s">
        <v>913</v>
      </c>
      <c r="E634" s="5" t="s">
        <v>8</v>
      </c>
      <c r="F634" s="1">
        <f>SUM(F635:F638)</f>
        <v>0</v>
      </c>
      <c r="G634" s="1">
        <f t="shared" ref="G634" si="391">SUM(G635:G638)</f>
        <v>0</v>
      </c>
      <c r="H634" s="1">
        <f t="shared" ref="H634" si="392">SUM(H635:H638)</f>
        <v>0</v>
      </c>
      <c r="I634" s="1">
        <f t="shared" ref="I634" si="393">SUM(I635:I638)</f>
        <v>0</v>
      </c>
      <c r="J634" s="1">
        <f t="shared" ref="J634" si="394">SUM(J635:J638)</f>
        <v>0</v>
      </c>
      <c r="K634" s="1">
        <f t="shared" ref="K634" si="395">SUM(K635:K638)</f>
        <v>0</v>
      </c>
    </row>
    <row r="635" spans="2:11" x14ac:dyDescent="0.35">
      <c r="B635" s="5" t="str">
        <f t="shared" si="384"/>
        <v>SPS2</v>
      </c>
      <c r="C635" s="5" t="s">
        <v>7</v>
      </c>
      <c r="D635" t="s">
        <v>338</v>
      </c>
      <c r="E635" s="5" t="s">
        <v>8</v>
      </c>
      <c r="F635" s="1" cm="1">
        <f t="array" ref="F635">SUMPRODUCT(("SUP_WSTBIO"=[1]OUT_SyntheticFuels!$C$4:$C$1000)*1,("LTH"=[1]OUT_SyntheticFuels!$A$4:$A$1000)*1,("Var_Fout"=[1]OUT_SyntheticFuels!$B$4:$B$1000)*1,[1]OUT_SyntheticFuels!E$4:E$1000)</f>
        <v>0</v>
      </c>
      <c r="G635" s="1" cm="1">
        <f t="array" ref="G635">SUMPRODUCT(("SUP_WSTBIO"=[1]OUT_SyntheticFuels!$C$4:$C$1000)*1,("LTH"=[1]OUT_SyntheticFuels!$A$4:$A$1000)*1,("Var_Fout"=[1]OUT_SyntheticFuels!$B$4:$B$1000)*1,[1]OUT_SyntheticFuels!F$4:F$1000)</f>
        <v>0</v>
      </c>
      <c r="H635" s="1" cm="1">
        <f t="array" ref="H635">SUMPRODUCT(("SUP_WSTBIO"=[1]OUT_SyntheticFuels!$C$4:$C$1000)*1,("LTH"=[1]OUT_SyntheticFuels!$A$4:$A$1000)*1,("Var_Fout"=[1]OUT_SyntheticFuels!$B$4:$B$1000)*1,[1]OUT_SyntheticFuels!G$4:G$1000)</f>
        <v>0</v>
      </c>
      <c r="I635" s="1" cm="1">
        <f t="array" ref="I635">SUMPRODUCT(("SUP_WSTBIO"=[1]OUT_SyntheticFuels!$C$4:$C$1000)*1,("LTH"=[1]OUT_SyntheticFuels!$A$4:$A$1000)*1,("Var_Fout"=[1]OUT_SyntheticFuels!$B$4:$B$1000)*1,[1]OUT_SyntheticFuels!H$4:H$1000)</f>
        <v>0</v>
      </c>
      <c r="J635" s="1" cm="1">
        <f t="array" ref="J635">SUMPRODUCT(("SUP_WSTBIO"=[1]OUT_SyntheticFuels!$C$4:$C$1000)*1,("LTH"=[1]OUT_SyntheticFuels!$A$4:$A$1000)*1,("Var_Fout"=[1]OUT_SyntheticFuels!$B$4:$B$1000)*1,[1]OUT_SyntheticFuels!I$4:I$1000)</f>
        <v>0</v>
      </c>
      <c r="K635" s="1" cm="1">
        <f t="array" ref="K635">SUMPRODUCT(("SUP_WSTBIO"=[1]OUT_SyntheticFuels!$C$4:$C$1000)*1,("LTH"=[1]OUT_SyntheticFuels!$A$4:$A$1000)*1,("Var_Fout"=[1]OUT_SyntheticFuels!$B$4:$B$1000)*1,[1]OUT_SyntheticFuels!J$4:J$1000)</f>
        <v>0</v>
      </c>
    </row>
    <row r="636" spans="2:11" x14ac:dyDescent="0.35">
      <c r="B636" s="5" t="str">
        <f t="shared" si="384"/>
        <v>SPS2</v>
      </c>
      <c r="C636" s="5" t="s">
        <v>7</v>
      </c>
      <c r="D636" t="s">
        <v>339</v>
      </c>
      <c r="E636" s="5" t="s">
        <v>8</v>
      </c>
      <c r="F636" s="1" cm="1">
        <f t="array" ref="F636">SUMPRODUCT(("SUP_WSTBIOCCS"=[1]OUT_SyntheticFuels!$C$4:$C$1000)*1,("LTH"=[1]OUT_SyntheticFuels!$A$4:$A$1000)*1,("Var_Fout"=[1]OUT_SyntheticFuels!$B$4:$B$1000)*1,[1]OUT_SyntheticFuels!E$4:E$1000)</f>
        <v>0</v>
      </c>
      <c r="G636" s="1" cm="1">
        <f t="array" ref="G636">SUMPRODUCT(("SUP_WSTBIOCCS"=[1]OUT_SyntheticFuels!$C$4:$C$1000)*1,("LTH"=[1]OUT_SyntheticFuels!$A$4:$A$1000)*1,("Var_Fout"=[1]OUT_SyntheticFuels!$B$4:$B$1000)*1,[1]OUT_SyntheticFuels!F$4:F$1000)</f>
        <v>0</v>
      </c>
      <c r="H636" s="1" cm="1">
        <f t="array" ref="H636">SUMPRODUCT(("SUP_WSTBIOCCS"=[1]OUT_SyntheticFuels!$C$4:$C$1000)*1,("LTH"=[1]OUT_SyntheticFuels!$A$4:$A$1000)*1,("Var_Fout"=[1]OUT_SyntheticFuels!$B$4:$B$1000)*1,[1]OUT_SyntheticFuels!G$4:G$1000)</f>
        <v>0</v>
      </c>
      <c r="I636" s="1" cm="1">
        <f t="array" ref="I636">SUMPRODUCT(("SUP_WSTBIOCCS"=[1]OUT_SyntheticFuels!$C$4:$C$1000)*1,("LTH"=[1]OUT_SyntheticFuels!$A$4:$A$1000)*1,("Var_Fout"=[1]OUT_SyntheticFuels!$B$4:$B$1000)*1,[1]OUT_SyntheticFuels!H$4:H$1000)</f>
        <v>0</v>
      </c>
      <c r="J636" s="1" cm="1">
        <f t="array" ref="J636">SUMPRODUCT(("SUP_WSTBIOCCS"=[1]OUT_SyntheticFuels!$C$4:$C$1000)*1,("LTH"=[1]OUT_SyntheticFuels!$A$4:$A$1000)*1,("Var_Fout"=[1]OUT_SyntheticFuels!$B$4:$B$1000)*1,[1]OUT_SyntheticFuels!I$4:I$1000)</f>
        <v>0</v>
      </c>
      <c r="K636" s="1" cm="1">
        <f t="array" ref="K636">SUMPRODUCT(("SUP_WSTBIOCCS"=[1]OUT_SyntheticFuels!$C$4:$C$1000)*1,("LTH"=[1]OUT_SyntheticFuels!$A$4:$A$1000)*1,("Var_Fout"=[1]OUT_SyntheticFuels!$B$4:$B$1000)*1,[1]OUT_SyntheticFuels!J$4:J$1000)</f>
        <v>0</v>
      </c>
    </row>
    <row r="637" spans="2:11" x14ac:dyDescent="0.35">
      <c r="B637" s="5" t="str">
        <f t="shared" si="384"/>
        <v>SPS2</v>
      </c>
      <c r="C637" s="5" t="s">
        <v>7</v>
      </c>
      <c r="D637" t="s">
        <v>340</v>
      </c>
      <c r="E637" s="5" t="s">
        <v>8</v>
      </c>
      <c r="F637" s="1" cm="1">
        <f t="array" ref="F637">SUMPRODUCT(("SUP_WSTHTGBIO"=[1]OUT_SyntheticFuels!$C$4:$C$1000)*1,("LTH"=[1]OUT_SyntheticFuels!$A$4:$A$1000)*1,("Var_Fout"=[1]OUT_SyntheticFuels!$B$4:$B$1000)*1,[1]OUT_SyntheticFuels!E$4:E$1000)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SUMPRODUCT(("SUP_WSTHTGBIO"=[1]OUT_SyntheticFuels!$C$4:$C$1000)*1,("LTH"=[1]OUT_SyntheticFuels!$A$4:$A$1000)*1,("Var_Fout"=[1]OUT_SyntheticFuels!$B$4:$B$1000)*1,[1]OUT_SyntheticFuels!F$4:F$1000)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SUMPRODUCT(("SUP_WSTHTGBIO"=[1]OUT_SyntheticFuels!$C$4:$C$1000)*1,("LTH"=[1]OUT_SyntheticFuels!$A$4:$A$1000)*1,("Var_Fout"=[1]OUT_SyntheticFuels!$B$4:$B$1000)*1,[1]OUT_SyntheticFuels!G$4:G$1000)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SUMPRODUCT(("SUP_WSTHTGBIO"=[1]OUT_SyntheticFuels!$C$4:$C$1000)*1,("LTH"=[1]OUT_SyntheticFuels!$A$4:$A$1000)*1,("Var_Fout"=[1]OUT_SyntheticFuels!$B$4:$B$1000)*1,[1]OUT_SyntheticFuels!H$4:H$1000)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SUMPRODUCT(("SUP_WSTHTGBIO"=[1]OUT_SyntheticFuels!$C$4:$C$1000)*1,("LTH"=[1]OUT_SyntheticFuels!$A$4:$A$1000)*1,("Var_Fout"=[1]OUT_SyntheticFuels!$B$4:$B$1000)*1,[1]OUT_SyntheticFuels!I$4:I$1000)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SUMPRODUCT(("SUP_WSTHTGBIO"=[1]OUT_SyntheticFuels!$C$4:$C$1000)*1,("LTH"=[1]OUT_SyntheticFuels!$A$4:$A$1000)*1,("Var_Fout"=[1]OUT_SyntheticFuels!$B$4:$B$1000)*1,[1]OUT_SyntheticFuels!J$4:J$1000)</f>
        <v>0</v>
      </c>
    </row>
    <row r="638" spans="2:11" x14ac:dyDescent="0.35">
      <c r="B638" s="5" t="str">
        <f t="shared" si="384"/>
        <v>SPS2</v>
      </c>
      <c r="C638" s="5" t="s">
        <v>7</v>
      </c>
      <c r="D638" t="s">
        <v>341</v>
      </c>
      <c r="E638" s="5" t="s">
        <v>8</v>
      </c>
      <c r="F638" s="1" cm="1">
        <f t="array" ref="F638">SUMPRODUCT(("SUP_WSTHTGBIOCCS"=[1]OUT_SyntheticFuels!$C$4:$C$1000)*1,("LTH"=[1]OUT_SyntheticFuels!$A$4:$A$1000)*1,("Var_Fout"=[1]OUT_SyntheticFuels!$B$4:$B$1000)*1,[1]OUT_SyntheticFuels!E$4:E$1000)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SUMPRODUCT(("SUP_WSTHTGBIOCCS"=[1]OUT_SyntheticFuels!$C$4:$C$1000)*1,("LTH"=[1]OUT_SyntheticFuels!$A$4:$A$1000)*1,("Var_Fout"=[1]OUT_SyntheticFuels!$B$4:$B$1000)*1,[1]OUT_SyntheticFuels!F$4:F$1000)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SUMPRODUCT(("SUP_WSTHTGBIOCCS"=[1]OUT_SyntheticFuels!$C$4:$C$1000)*1,("LTH"=[1]OUT_SyntheticFuels!$A$4:$A$1000)*1,("Var_Fout"=[1]OUT_SyntheticFuels!$B$4:$B$1000)*1,[1]OUT_SyntheticFuels!G$4:G$1000)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SUMPRODUCT(("SUP_WSTHTGBIOCCS"=[1]OUT_SyntheticFuels!$C$4:$C$1000)*1,("LTH"=[1]OUT_SyntheticFuels!$A$4:$A$1000)*1,("Var_Fout"=[1]OUT_SyntheticFuels!$B$4:$B$1000)*1,[1]OUT_SyntheticFuels!H$4:H$1000)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SUMPRODUCT(("SUP_WSTHTGBIOCCS"=[1]OUT_SyntheticFuels!$C$4:$C$1000)*1,("LTH"=[1]OUT_SyntheticFuels!$A$4:$A$1000)*1,("Var_Fout"=[1]OUT_SyntheticFuels!$B$4:$B$1000)*1,[1]OUT_SyntheticFuels!I$4:I$1000)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SUMPRODUCT(("SUP_WSTHTGBIOCCS"=[1]OUT_SyntheticFuels!$C$4:$C$1000)*1,("LTH"=[1]OUT_SyntheticFuels!$A$4:$A$1000)*1,("Var_Fout"=[1]OUT_SyntheticFuels!$B$4:$B$1000)*1,[1]OUT_SyntheticFuels!J$4:J$1000)</f>
        <v>0</v>
      </c>
    </row>
    <row r="639" spans="2:11" x14ac:dyDescent="0.35">
      <c r="B639" s="5" t="str">
        <f t="shared" si="384"/>
        <v>SPS2</v>
      </c>
      <c r="C639" s="5" t="s">
        <v>7</v>
      </c>
      <c r="D639" t="s">
        <v>912</v>
      </c>
      <c r="E639" s="5" t="s">
        <v>8</v>
      </c>
      <c r="F639" s="1">
        <f>SUM(F640:F641)</f>
        <v>0</v>
      </c>
      <c r="G639" s="1">
        <f t="shared" ref="G639" si="396">SUM(G640:G641)</f>
        <v>1.2470319736096157E-4</v>
      </c>
      <c r="H639" s="1">
        <f t="shared" ref="H639" si="397">SUM(H640:H641)</f>
        <v>5.4279288852909012E-5</v>
      </c>
      <c r="I639" s="1">
        <f t="shared" ref="I639" si="398">SUM(I640:I641)</f>
        <v>9.6497167371405092E-4</v>
      </c>
      <c r="J639" s="1">
        <f t="shared" ref="J639" si="399">SUM(J640:J641)</f>
        <v>0.11712060994127724</v>
      </c>
      <c r="K639" s="1">
        <f t="shared" ref="K639" si="400">SUM(K640:K641)</f>
        <v>0.18431520188745654</v>
      </c>
    </row>
    <row r="640" spans="2:11" x14ac:dyDescent="0.35">
      <c r="B640" s="5" t="str">
        <f t="shared" si="384"/>
        <v>SPS2</v>
      </c>
      <c r="C640" s="5" t="s">
        <v>7</v>
      </c>
      <c r="D640" t="s">
        <v>342</v>
      </c>
      <c r="E640" s="5" t="s">
        <v>8</v>
      </c>
      <c r="F640" s="1" cm="1">
        <f t="array" ref="F640">SUMPRODUCT(("SUP_WODBIO"=[1]OUT_SyntheticFuels!$C$4:$C$1000)*1,("LTH"=[1]OUT_SyntheticFuels!$A$4:$A$1000)*1,("Var_Fout"=[1]OUT_SyntheticFuels!$B$4:$B$1000)*1,[1]OUT_SyntheticFuels!E$4:E$1000)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SUMPRODUCT(("SUP_WODBIO"=[1]OUT_SyntheticFuels!$C$4:$C$1000)*1,("LTH"=[1]OUT_SyntheticFuels!$A$4:$A$1000)*1,("Var_Fout"=[1]OUT_SyntheticFuels!$B$4:$B$1000)*1,[1]OUT_SyntheticFuels!F$4:F$1000)</f>
        <v>1.2470319736096157E-4</v>
      </c>
      <c r="H640" s="1" cm="1">
        <f t="array" ref="H640">SUMPRODUCT(("SUP_WODBIO"=[1]OUT_SyntheticFuels!$C$4:$C$1000)*1,("LTH"=[1]OUT_SyntheticFuels!$A$4:$A$1000)*1,("Var_Fout"=[1]OUT_SyntheticFuels!$B$4:$B$1000)*1,[1]OUT_SyntheticFuels!G$4:G$1000)</f>
        <v>5.4279288852909012E-5</v>
      </c>
      <c r="I640" s="1" cm="1">
        <f t="array" ref="I640">SUMPRODUCT(("SUP_WODBIO"=[1]OUT_SyntheticFuels!$C$4:$C$1000)*1,("LTH"=[1]OUT_SyntheticFuels!$A$4:$A$1000)*1,("Var_Fout"=[1]OUT_SyntheticFuels!$B$4:$B$1000)*1,[1]OUT_SyntheticFuels!H$4:H$1000)</f>
        <v>9.6497167371405092E-4</v>
      </c>
      <c r="J640" s="1" cm="1">
        <f t="array" ref="J640">SUMPRODUCT(("SUP_WODBIO"=[1]OUT_SyntheticFuels!$C$4:$C$1000)*1,("LTH"=[1]OUT_SyntheticFuels!$A$4:$A$1000)*1,("Var_Fout"=[1]OUT_SyntheticFuels!$B$4:$B$1000)*1,[1]OUT_SyntheticFuels!I$4:I$1000)</f>
        <v>0.11692563739451876</v>
      </c>
      <c r="K640" s="1" cm="1">
        <f t="array" ref="K640">SUMPRODUCT(("SUP_WODBIO"=[1]OUT_SyntheticFuels!$C$4:$C$1000)*1,("LTH"=[1]OUT_SyntheticFuels!$A$4:$A$1000)*1,("Var_Fout"=[1]OUT_SyntheticFuels!$B$4:$B$1000)*1,[1]OUT_SyntheticFuels!J$4:J$1000)</f>
        <v>2.8719405716132239E-4</v>
      </c>
    </row>
    <row r="641" spans="2:11" x14ac:dyDescent="0.35">
      <c r="B641" s="5" t="str">
        <f t="shared" si="384"/>
        <v>SPS2</v>
      </c>
      <c r="C641" s="5" t="s">
        <v>7</v>
      </c>
      <c r="D641" t="s">
        <v>343</v>
      </c>
      <c r="E641" s="5" t="s">
        <v>8</v>
      </c>
      <c r="F641" s="1" cm="1">
        <f t="array" ref="F641">SUMPRODUCT(("SUP_WODBIOCCS"=[1]OUT_SyntheticFuels!$C$4:$C$1000)*1,("LTH"=[1]OUT_SyntheticFuels!$A$4:$A$1000)*1,("Var_Fout"=[1]OUT_SyntheticFuels!$B$4:$B$1000)*1,[1]OUT_SyntheticFuels!E$4:E$1000)</f>
        <v>0</v>
      </c>
      <c r="G641" s="1" cm="1">
        <f t="array" ref="G641">SUMPRODUCT(("SUP_WODBIOCCS"=[1]OUT_SyntheticFuels!$C$4:$C$1000)*1,("LTH"=[1]OUT_SyntheticFuels!$A$4:$A$1000)*1,("Var_Fout"=[1]OUT_SyntheticFuels!$B$4:$B$1000)*1,[1]OUT_SyntheticFuels!F$4:F$1000)</f>
        <v>0</v>
      </c>
      <c r="H641" s="1" cm="1">
        <f t="array" ref="H641">SUMPRODUCT(("SUP_WODBIOCCS"=[1]OUT_SyntheticFuels!$C$4:$C$1000)*1,("LTH"=[1]OUT_SyntheticFuels!$A$4:$A$1000)*1,("Var_Fout"=[1]OUT_SyntheticFuels!$B$4:$B$1000)*1,[1]OUT_SyntheticFuels!G$4:G$1000)</f>
        <v>0</v>
      </c>
      <c r="I641" s="1" cm="1">
        <f t="array" ref="I641">SUMPRODUCT(("SUP_WODBIOCCS"=[1]OUT_SyntheticFuels!$C$4:$C$1000)*1,("LTH"=[1]OUT_SyntheticFuels!$A$4:$A$1000)*1,("Var_Fout"=[1]OUT_SyntheticFuels!$B$4:$B$1000)*1,[1]OUT_SyntheticFuels!H$4:H$1000)</f>
        <v>0</v>
      </c>
      <c r="J641" s="1" cm="1">
        <f t="array" ref="J641">SUMPRODUCT(("SUP_WODBIOCCS"=[1]OUT_SyntheticFuels!$C$4:$C$1000)*1,("LTH"=[1]OUT_SyntheticFuels!$A$4:$A$1000)*1,("Var_Fout"=[1]OUT_SyntheticFuels!$B$4:$B$1000)*1,[1]OUT_SyntheticFuels!I$4:I$1000)</f>
        <v>1.9497254675846743E-4</v>
      </c>
      <c r="K641" s="1" cm="1">
        <f t="array" ref="K641">SUMPRODUCT(("SUP_WODBIOCCS"=[1]OUT_SyntheticFuels!$C$4:$C$1000)*1,("LTH"=[1]OUT_SyntheticFuels!$A$4:$A$1000)*1,("Var_Fout"=[1]OUT_SyntheticFuels!$B$4:$B$1000)*1,[1]OUT_SyntheticFuels!J$4:J$1000)</f>
        <v>0.18402800783029521</v>
      </c>
    </row>
    <row r="642" spans="2:11" x14ac:dyDescent="0.35">
      <c r="B642" s="5" t="str">
        <f t="shared" si="384"/>
        <v>SPS2</v>
      </c>
      <c r="C642" s="5" t="s">
        <v>7</v>
      </c>
      <c r="D642" s="2" t="s">
        <v>387</v>
      </c>
      <c r="E642" s="9" t="s">
        <v>8</v>
      </c>
      <c r="F642" s="3">
        <f>F643+F644+F649</f>
        <v>13.477532203427955</v>
      </c>
      <c r="G642" s="3">
        <f t="shared" ref="G642" si="401">G643+G644+G649</f>
        <v>22.392963034631812</v>
      </c>
      <c r="H642" s="3">
        <f t="shared" ref="H642" si="402">H643+H644+H649</f>
        <v>21.651418325824441</v>
      </c>
      <c r="I642" s="3">
        <f t="shared" ref="I642" si="403">I643+I644+I649</f>
        <v>24.451754964511821</v>
      </c>
      <c r="J642" s="3">
        <f t="shared" ref="J642" si="404">J643+J644+J649</f>
        <v>33.279887588366805</v>
      </c>
      <c r="K642" s="3">
        <f t="shared" ref="K642" si="405">K643+K644+K649</f>
        <v>38.225823054634745</v>
      </c>
    </row>
    <row r="643" spans="2:11" x14ac:dyDescent="0.35">
      <c r="B643" s="5" t="str">
        <f t="shared" si="384"/>
        <v>SPS2</v>
      </c>
      <c r="C643" s="5" t="s">
        <v>7</v>
      </c>
      <c r="D643" t="s">
        <v>344</v>
      </c>
      <c r="E643" s="5" t="s">
        <v>8</v>
      </c>
      <c r="F643" s="1" cm="1">
        <f t="array" ref="F643">SUMPRODUCT(("SUP_MNRBIO"=[1]OUT_SyntheticFuels!$C$4:$C$1000)*1,("VAR_FIN"=[1]OUT_SyntheticFuels!$B$4:$B$1000)*1,("MNR"=[1]OUT_SyntheticFuels!$A$4:$A$1000)*1,[1]OUT_SyntheticFuels!E$4:E$1000)</f>
        <v>3.7981374165030539</v>
      </c>
      <c r="G643" s="1" cm="1">
        <f t="array" ref="G643">SUMPRODUCT(("SUP_MNRBIO"=[1]OUT_SyntheticFuels!$C$4:$C$1000)*1,("VAR_FIN"=[1]OUT_SyntheticFuels!$B$4:$B$1000)*1,("MNR"=[1]OUT_SyntheticFuels!$A$4:$A$1000)*1,[1]OUT_SyntheticFuels!F$4:F$1000)</f>
        <v>12.540429534987217</v>
      </c>
      <c r="H643" s="1" cm="1">
        <f t="array" ref="H643">SUMPRODUCT(("SUP_MNRBIO"=[1]OUT_SyntheticFuels!$C$4:$C$1000)*1,("VAR_FIN"=[1]OUT_SyntheticFuels!$B$4:$B$1000)*1,("MNR"=[1]OUT_SyntheticFuels!$A$4:$A$1000)*1,[1]OUT_SyntheticFuels!G$4:G$1000)</f>
        <v>12.540446857717637</v>
      </c>
      <c r="I643" s="1" cm="1">
        <f t="array" ref="I643">SUMPRODUCT(("SUP_MNRBIO"=[1]OUT_SyntheticFuels!$C$4:$C$1000)*1,("VAR_FIN"=[1]OUT_SyntheticFuels!$B$4:$B$1000)*1,("MNR"=[1]OUT_SyntheticFuels!$A$4:$A$1000)*1,[1]OUT_SyntheticFuels!H$4:H$1000)</f>
        <v>12.540468355927601</v>
      </c>
      <c r="J643" s="1" cm="1">
        <f t="array" ref="J643">SUMPRODUCT(("SUP_MNRBIO"=[1]OUT_SyntheticFuels!$C$4:$C$1000)*1,("VAR_FIN"=[1]OUT_SyntheticFuels!$B$4:$B$1000)*1,("MNR"=[1]OUT_SyntheticFuels!$A$4:$A$1000)*1,[1]OUT_SyntheticFuels!I$4:I$1000)</f>
        <v>17.360275078529266</v>
      </c>
      <c r="K643" s="1" cm="1">
        <f t="array" ref="K643">SUMPRODUCT(("SUP_MNRBIO"=[1]OUT_SyntheticFuels!$C$4:$C$1000)*1,("VAR_FIN"=[1]OUT_SyntheticFuels!$B$4:$B$1000)*1,("MNR"=[1]OUT_SyntheticFuels!$A$4:$A$1000)*1,[1]OUT_SyntheticFuels!J$4:J$1000)</f>
        <v>18.829754855565341</v>
      </c>
    </row>
    <row r="644" spans="2:11" x14ac:dyDescent="0.35">
      <c r="B644" s="5" t="str">
        <f t="shared" si="384"/>
        <v>SPS2</v>
      </c>
      <c r="C644" s="5" t="s">
        <v>7</v>
      </c>
      <c r="D644" t="s">
        <v>914</v>
      </c>
      <c r="E644" s="5" t="s">
        <v>8</v>
      </c>
      <c r="F644" s="1">
        <f>SUM(F645:F648)</f>
        <v>9.6793947869249006</v>
      </c>
      <c r="G644" s="1">
        <f t="shared" ref="G644" si="406">SUM(G645:G648)</f>
        <v>9.8511305886742857</v>
      </c>
      <c r="H644" s="1">
        <f t="shared" ref="H644" si="407">SUM(H645:H648)</f>
        <v>9.1103608261072093</v>
      </c>
      <c r="I644" s="1">
        <f t="shared" ref="I644" si="408">SUM(I645:I648)</f>
        <v>11.900430677254938</v>
      </c>
      <c r="J644" s="1">
        <f t="shared" ref="J644" si="409">SUM(J645:J648)</f>
        <v>14.601815106571143</v>
      </c>
      <c r="K644" s="1">
        <f t="shared" ref="K644" si="410">SUM(K645:K648)</f>
        <v>17.096706372462979</v>
      </c>
    </row>
    <row r="645" spans="2:11" x14ac:dyDescent="0.35">
      <c r="B645" s="5" t="str">
        <f t="shared" si="384"/>
        <v>SPS2</v>
      </c>
      <c r="C645" s="5" t="s">
        <v>7</v>
      </c>
      <c r="D645" t="s">
        <v>345</v>
      </c>
      <c r="E645" s="5" t="s">
        <v>8</v>
      </c>
      <c r="F645" s="1" cm="1">
        <f t="array" ref="F645">SUMPRODUCT(("SUP_WSTBIO"=[1]OUT_SyntheticFuels!$C$4:$C$1000)*1,("CWST"=[1]OUT_SyntheticFuels!$A$4:$A$1000)*1,("VAR_FIN"=[1]OUT_SyntheticFuels!$B$4:$B$1000)*1,[1]OUT_SyntheticFuels!E$4:E$1000)</f>
        <v>9.6793947869249006</v>
      </c>
      <c r="G645" s="1" cm="1">
        <f t="array" ref="G645">SUMPRODUCT(("SUP_WSTBIO"=[1]OUT_SyntheticFuels!$C$4:$C$1000)*1,("CWST"=[1]OUT_SyntheticFuels!$A$4:$A$1000)*1,("VAR_FIN"=[1]OUT_SyntheticFuels!$B$4:$B$1000)*1,[1]OUT_SyntheticFuels!F$4:F$1000)</f>
        <v>9.8511305886742857</v>
      </c>
      <c r="H645" s="1" cm="1">
        <f t="array" ref="H645">SUMPRODUCT(("SUP_WSTBIO"=[1]OUT_SyntheticFuels!$C$4:$C$1000)*1,("CWST"=[1]OUT_SyntheticFuels!$A$4:$A$1000)*1,("VAR_FIN"=[1]OUT_SyntheticFuels!$B$4:$B$1000)*1,[1]OUT_SyntheticFuels!G$4:G$1000)</f>
        <v>9.1103608261072093</v>
      </c>
      <c r="I645" s="1" cm="1">
        <f t="array" ref="I645">SUMPRODUCT(("SUP_WSTBIO"=[1]OUT_SyntheticFuels!$C$4:$C$1000)*1,("CWST"=[1]OUT_SyntheticFuels!$A$4:$A$1000)*1,("VAR_FIN"=[1]OUT_SyntheticFuels!$B$4:$B$1000)*1,[1]OUT_SyntheticFuels!H$4:H$1000)</f>
        <v>11.900430677254938</v>
      </c>
      <c r="J645" s="1" cm="1">
        <f t="array" ref="J645">SUMPRODUCT(("SUP_WSTBIO"=[1]OUT_SyntheticFuels!$C$4:$C$1000)*1,("CWST"=[1]OUT_SyntheticFuels!$A$4:$A$1000)*1,("VAR_FIN"=[1]OUT_SyntheticFuels!$B$4:$B$1000)*1,[1]OUT_SyntheticFuels!I$4:I$1000)</f>
        <v>14.457138428599556</v>
      </c>
      <c r="K645" s="1" cm="1">
        <f t="array" ref="K645">SUMPRODUCT(("SUP_WSTBIO"=[1]OUT_SyntheticFuels!$C$4:$C$1000)*1,("CWST"=[1]OUT_SyntheticFuels!$A$4:$A$1000)*1,("VAR_FIN"=[1]OUT_SyntheticFuels!$B$4:$B$1000)*1,[1]OUT_SyntheticFuels!J$4:J$1000)</f>
        <v>16.927355092513888</v>
      </c>
    </row>
    <row r="646" spans="2:11" x14ac:dyDescent="0.35">
      <c r="B646" s="5" t="str">
        <f t="shared" si="384"/>
        <v>SPS2</v>
      </c>
      <c r="C646" s="5" t="s">
        <v>7</v>
      </c>
      <c r="D646" t="s">
        <v>346</v>
      </c>
      <c r="E646" s="5" t="s">
        <v>8</v>
      </c>
      <c r="F646" s="1" cm="1">
        <f t="array" ref="F646">SUMPRODUCT(("SUP_WSTBIOCCS"=[1]OUT_SyntheticFuels!$C$4:$C$1000)*1,("CWST"=[1]OUT_SyntheticFuels!$A$4:$A$1000)*1,("VAR_FIN"=[1]OUT_SyntheticFuels!$B$4:$B$1000)*1,[1]OUT_SyntheticFuels!E$4:E$1000)</f>
        <v>0</v>
      </c>
      <c r="G646" s="1" cm="1">
        <f t="array" ref="G646">SUMPRODUCT(("SUP_WSTBIOCCS"=[1]OUT_SyntheticFuels!$C$4:$C$1000)*1,("CWST"=[1]OUT_SyntheticFuels!$A$4:$A$1000)*1,("VAR_FIN"=[1]OUT_SyntheticFuels!$B$4:$B$1000)*1,[1]OUT_SyntheticFuels!F$4:F$1000)</f>
        <v>0</v>
      </c>
      <c r="H646" s="1" cm="1">
        <f t="array" ref="H646">SUMPRODUCT(("SUP_WSTBIOCCS"=[1]OUT_SyntheticFuels!$C$4:$C$1000)*1,("CWST"=[1]OUT_SyntheticFuels!$A$4:$A$1000)*1,("VAR_FIN"=[1]OUT_SyntheticFuels!$B$4:$B$1000)*1,[1]OUT_SyntheticFuels!G$4:G$1000)</f>
        <v>0</v>
      </c>
      <c r="I646" s="1" cm="1">
        <f t="array" ref="I646">SUMPRODUCT(("SUP_WSTBIOCCS"=[1]OUT_SyntheticFuels!$C$4:$C$1000)*1,("CWST"=[1]OUT_SyntheticFuels!$A$4:$A$1000)*1,("VAR_FIN"=[1]OUT_SyntheticFuels!$B$4:$B$1000)*1,[1]OUT_SyntheticFuels!H$4:H$1000)</f>
        <v>0</v>
      </c>
      <c r="J646" s="1" cm="1">
        <f t="array" ref="J646">SUMPRODUCT(("SUP_WSTBIOCCS"=[1]OUT_SyntheticFuels!$C$4:$C$1000)*1,("CWST"=[1]OUT_SyntheticFuels!$A$4:$A$1000)*1,("VAR_FIN"=[1]OUT_SyntheticFuels!$B$4:$B$1000)*1,[1]OUT_SyntheticFuels!I$4:I$1000)</f>
        <v>0</v>
      </c>
      <c r="K646" s="1" cm="1">
        <f t="array" ref="K646">SUMPRODUCT(("SUP_WSTBIOCCS"=[1]OUT_SyntheticFuels!$C$4:$C$1000)*1,("CWST"=[1]OUT_SyntheticFuels!$A$4:$A$1000)*1,("VAR_FIN"=[1]OUT_SyntheticFuels!$B$4:$B$1000)*1,[1]OUT_SyntheticFuels!J$4:J$1000)</f>
        <v>0</v>
      </c>
    </row>
    <row r="647" spans="2:11" x14ac:dyDescent="0.35">
      <c r="B647" s="5" t="str">
        <f t="shared" si="384"/>
        <v>SPS2</v>
      </c>
      <c r="C647" s="5" t="s">
        <v>7</v>
      </c>
      <c r="D647" t="s">
        <v>347</v>
      </c>
      <c r="E647" s="5" t="s">
        <v>8</v>
      </c>
      <c r="F647" s="1" cm="1">
        <f t="array" ref="F647">SUMPRODUCT(("SUP_WSTHTGBIO"=[1]OUT_SyntheticFuels!$C$4:$C$1000)*1,("CWST"=[1]OUT_SyntheticFuels!$A$4:$A$1000)*1,("VAR_FIN"=[1]OUT_SyntheticFuels!$B$4:$B$1000)*1,[1]OUT_SyntheticFuels!E$4:E$1000)</f>
        <v>0</v>
      </c>
      <c r="G647" s="1" cm="1">
        <f t="array" ref="G647">SUMPRODUCT(("SUP_WSTHTGBIO"=[1]OUT_SyntheticFuels!$C$4:$C$1000)*1,("CWST"=[1]OUT_SyntheticFuels!$A$4:$A$1000)*1,("VAR_FIN"=[1]OUT_SyntheticFuels!$B$4:$B$1000)*1,[1]OUT_SyntheticFuels!F$4:F$1000)</f>
        <v>0</v>
      </c>
      <c r="H647" s="1" cm="1">
        <f t="array" ref="H647">SUMPRODUCT(("SUP_WSTHTGBIO"=[1]OUT_SyntheticFuels!$C$4:$C$1000)*1,("CWST"=[1]OUT_SyntheticFuels!$A$4:$A$1000)*1,("VAR_FIN"=[1]OUT_SyntheticFuels!$B$4:$B$1000)*1,[1]OUT_SyntheticFuels!G$4:G$1000)</f>
        <v>0</v>
      </c>
      <c r="I647" s="1" cm="1">
        <f t="array" ref="I647">SUMPRODUCT(("SUP_WSTHTGBIO"=[1]OUT_SyntheticFuels!$C$4:$C$1000)*1,("CWST"=[1]OUT_SyntheticFuels!$A$4:$A$1000)*1,("VAR_FIN"=[1]OUT_SyntheticFuels!$B$4:$B$1000)*1,[1]OUT_SyntheticFuels!H$4:H$1000)</f>
        <v>0</v>
      </c>
      <c r="J647" s="1" cm="1">
        <f t="array" ref="J647">SUMPRODUCT(("SUP_WSTHTGBIO"=[1]OUT_SyntheticFuels!$C$4:$C$1000)*1,("CWST"=[1]OUT_SyntheticFuels!$A$4:$A$1000)*1,("VAR_FIN"=[1]OUT_SyntheticFuels!$B$4:$B$1000)*1,[1]OUT_SyntheticFuels!I$4:I$1000)</f>
        <v>0.14393104150373159</v>
      </c>
      <c r="K647" s="1" cm="1">
        <f t="array" ref="K647">SUMPRODUCT(("SUP_WSTHTGBIO"=[1]OUT_SyntheticFuels!$C$4:$C$1000)*1,("CWST"=[1]OUT_SyntheticFuels!$A$4:$A$1000)*1,("VAR_FIN"=[1]OUT_SyntheticFuels!$B$4:$B$1000)*1,[1]OUT_SyntheticFuels!J$4:J$1000)</f>
        <v>0.14647689745926754</v>
      </c>
    </row>
    <row r="648" spans="2:11" x14ac:dyDescent="0.35">
      <c r="B648" s="5" t="str">
        <f t="shared" si="384"/>
        <v>SPS2</v>
      </c>
      <c r="C648" s="5" t="s">
        <v>7</v>
      </c>
      <c r="D648" t="s">
        <v>348</v>
      </c>
      <c r="E648" s="5" t="s">
        <v>8</v>
      </c>
      <c r="F648" s="1" cm="1">
        <f t="array" ref="F648">SUMPRODUCT(("SUP_WSTHTGBIOCCS"=[1]OUT_SyntheticFuels!$C$4:$C$1000)*1,("CWST"=[1]OUT_SyntheticFuels!$A$4:$A$1000)*1,("VAR_FIN"=[1]OUT_SyntheticFuels!$B$4:$B$1000)*1,[1]OUT_SyntheticFuels!E$4:E$1000)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SUMPRODUCT(("SUP_WSTHTGBIOCCS"=[1]OUT_SyntheticFuels!$C$4:$C$1000)*1,("CWST"=[1]OUT_SyntheticFuels!$A$4:$A$1000)*1,("VAR_FIN"=[1]OUT_SyntheticFuels!$B$4:$B$1000)*1,[1]OUT_SyntheticFuels!F$4:F$1000)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SUMPRODUCT(("SUP_WSTHTGBIOCCS"=[1]OUT_SyntheticFuels!$C$4:$C$1000)*1,("CWST"=[1]OUT_SyntheticFuels!$A$4:$A$1000)*1,("VAR_FIN"=[1]OUT_SyntheticFuels!$B$4:$B$1000)*1,[1]OUT_SyntheticFuels!G$4:G$1000)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SUMPRODUCT(("SUP_WSTHTGBIOCCS"=[1]OUT_SyntheticFuels!$C$4:$C$1000)*1,("CWST"=[1]OUT_SyntheticFuels!$A$4:$A$1000)*1,("VAR_FIN"=[1]OUT_SyntheticFuels!$B$4:$B$1000)*1,[1]OUT_SyntheticFuels!H$4:H$1000)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SUMPRODUCT(("SUP_WSTHTGBIOCCS"=[1]OUT_SyntheticFuels!$C$4:$C$1000)*1,("CWST"=[1]OUT_SyntheticFuels!$A$4:$A$1000)*1,("VAR_FIN"=[1]OUT_SyntheticFuels!$B$4:$B$1000)*1,[1]OUT_SyntheticFuels!I$4:I$1000)</f>
        <v>7.4563646785484312E-4</v>
      </c>
      <c r="K648" s="1" cm="1">
        <f t="array" ref="K648">SUMPRODUCT(("SUP_WSTHTGBIOCCS"=[1]OUT_SyntheticFuels!$C$4:$C$1000)*1,("CWST"=[1]OUT_SyntheticFuels!$A$4:$A$1000)*1,("VAR_FIN"=[1]OUT_SyntheticFuels!$B$4:$B$1000)*1,[1]OUT_SyntheticFuels!J$4:J$1000)</f>
        <v>2.2874382489823063E-2</v>
      </c>
    </row>
    <row r="649" spans="2:11" x14ac:dyDescent="0.35">
      <c r="B649" s="5" t="str">
        <f t="shared" si="384"/>
        <v>SPS2</v>
      </c>
      <c r="C649" s="5" t="s">
        <v>7</v>
      </c>
      <c r="D649" t="s">
        <v>915</v>
      </c>
      <c r="E649" s="5" t="s">
        <v>8</v>
      </c>
      <c r="F649" s="1">
        <f>SUM(F650:F651)</f>
        <v>0</v>
      </c>
      <c r="G649" s="1">
        <f t="shared" ref="G649" si="411">SUM(G650:G651)</f>
        <v>1.4029109703108185E-3</v>
      </c>
      <c r="H649" s="1">
        <f t="shared" ref="H649" si="412">SUM(H650:H651)</f>
        <v>6.1064199959522678E-4</v>
      </c>
      <c r="I649" s="1">
        <f t="shared" ref="I649" si="413">SUM(I650:I651)</f>
        <v>1.0855931329283064E-2</v>
      </c>
      <c r="J649" s="1">
        <f t="shared" ref="J649" si="414">SUM(J650:J651)</f>
        <v>1.3177974032663977</v>
      </c>
      <c r="K649" s="1">
        <f t="shared" ref="K649" si="415">SUM(K650:K651)</f>
        <v>2.2993618266064302</v>
      </c>
    </row>
    <row r="650" spans="2:11" x14ac:dyDescent="0.35">
      <c r="B650" s="5" t="str">
        <f t="shared" si="384"/>
        <v>SPS2</v>
      </c>
      <c r="C650" s="5" t="s">
        <v>7</v>
      </c>
      <c r="D650" t="s">
        <v>349</v>
      </c>
      <c r="E650" s="5" t="s">
        <v>8</v>
      </c>
      <c r="F650" s="1" cm="1">
        <f t="array" ref="F650">SUMPRODUCT(("SUP_WODBIO"=[1]OUT_SyntheticFuels!$C$4:$C$1000)*1,("CWOD"=[1]OUT_SyntheticFuels!$A$4:$A$1000)*1,("VAR_FIN"=[1]OUT_SyntheticFuels!$B$4:$B$1000)*1,[1]OUT_SyntheticFuels!E$4:E$1000)</f>
        <v>0</v>
      </c>
      <c r="G650" s="1" cm="1">
        <f t="array" ref="G650">SUMPRODUCT(("SUP_WODBIO"=[1]OUT_SyntheticFuels!$C$4:$C$1000)*1,("CWOD"=[1]OUT_SyntheticFuels!$A$4:$A$1000)*1,("VAR_FIN"=[1]OUT_SyntheticFuels!$B$4:$B$1000)*1,[1]OUT_SyntheticFuels!F$4:F$1000)</f>
        <v>1.4029109703108185E-3</v>
      </c>
      <c r="H650" s="1" cm="1">
        <f t="array" ref="H650">SUMPRODUCT(("SUP_WODBIO"=[1]OUT_SyntheticFuels!$C$4:$C$1000)*1,("CWOD"=[1]OUT_SyntheticFuels!$A$4:$A$1000)*1,("VAR_FIN"=[1]OUT_SyntheticFuels!$B$4:$B$1000)*1,[1]OUT_SyntheticFuels!G$4:G$1000)</f>
        <v>6.1064199959522678E-4</v>
      </c>
      <c r="I650" s="1" cm="1">
        <f t="array" ref="I650">SUMPRODUCT(("SUP_WODBIO"=[1]OUT_SyntheticFuels!$C$4:$C$1000)*1,("CWOD"=[1]OUT_SyntheticFuels!$A$4:$A$1000)*1,("VAR_FIN"=[1]OUT_SyntheticFuels!$B$4:$B$1000)*1,[1]OUT_SyntheticFuels!H$4:H$1000)</f>
        <v>1.0855931329283064E-2</v>
      </c>
      <c r="J650" s="1" cm="1">
        <f t="array" ref="J650">SUMPRODUCT(("SUP_WODBIO"=[1]OUT_SyntheticFuels!$C$4:$C$1000)*1,("CWOD"=[1]OUT_SyntheticFuels!$A$4:$A$1000)*1,("VAR_FIN"=[1]OUT_SyntheticFuels!$B$4:$B$1000)*1,[1]OUT_SyntheticFuels!I$4:I$1000)</f>
        <v>1.3154134206883374</v>
      </c>
      <c r="K650" s="1" cm="1">
        <f t="array" ref="K650">SUMPRODUCT(("SUP_WODBIO"=[1]OUT_SyntheticFuels!$C$4:$C$1000)*1,("CWOD"=[1]OUT_SyntheticFuels!$A$4:$A$1000)*1,("VAR_FIN"=[1]OUT_SyntheticFuels!$B$4:$B$1000)*1,[1]OUT_SyntheticFuels!J$4:J$1000)</f>
        <v>3.2309331430648786E-3</v>
      </c>
    </row>
    <row r="651" spans="2:11" x14ac:dyDescent="0.35">
      <c r="B651" s="5" t="str">
        <f t="shared" si="384"/>
        <v>SPS2</v>
      </c>
      <c r="C651" s="5" t="s">
        <v>7</v>
      </c>
      <c r="D651" t="s">
        <v>350</v>
      </c>
      <c r="E651" s="5" t="s">
        <v>8</v>
      </c>
      <c r="F651" s="1" cm="1">
        <f t="array" ref="F651">SUMPRODUCT(("SUP_WODBIOCCS"=[1]OUT_SyntheticFuels!$C$4:$C$1000)*1,("CWOD"=[1]OUT_SyntheticFuels!$A$4:$A$1000)*1,("VAR_FIN"=[1]OUT_SyntheticFuels!$B$4:$B$1000)*1,[1]OUT_SyntheticFuels!E$4:E$1000)</f>
        <v>0</v>
      </c>
      <c r="G651" s="1" cm="1">
        <f t="array" ref="G651">SUMPRODUCT(("SUP_WODBIOCCS"=[1]OUT_SyntheticFuels!$C$4:$C$1000)*1,("CWOD"=[1]OUT_SyntheticFuels!$A$4:$A$1000)*1,("VAR_FIN"=[1]OUT_SyntheticFuels!$B$4:$B$1000)*1,[1]OUT_SyntheticFuels!F$4:F$1000)</f>
        <v>0</v>
      </c>
      <c r="H651" s="1" cm="1">
        <f t="array" ref="H651">SUMPRODUCT(("SUP_WODBIOCCS"=[1]OUT_SyntheticFuels!$C$4:$C$1000)*1,("CWOD"=[1]OUT_SyntheticFuels!$A$4:$A$1000)*1,("VAR_FIN"=[1]OUT_SyntheticFuels!$B$4:$B$1000)*1,[1]OUT_SyntheticFuels!G$4:G$1000)</f>
        <v>0</v>
      </c>
      <c r="I651" s="1" cm="1">
        <f t="array" ref="I651">SUMPRODUCT(("SUP_WODBIOCCS"=[1]OUT_SyntheticFuels!$C$4:$C$1000)*1,("CWOD"=[1]OUT_SyntheticFuels!$A$4:$A$1000)*1,("VAR_FIN"=[1]OUT_SyntheticFuels!$B$4:$B$1000)*1,[1]OUT_SyntheticFuels!H$4:H$1000)</f>
        <v>0</v>
      </c>
      <c r="J651" s="1" cm="1">
        <f t="array" ref="J651">SUMPRODUCT(("SUP_WODBIOCCS"=[1]OUT_SyntheticFuels!$C$4:$C$1000)*1,("CWOD"=[1]OUT_SyntheticFuels!$A$4:$A$1000)*1,("VAR_FIN"=[1]OUT_SyntheticFuels!$B$4:$B$1000)*1,[1]OUT_SyntheticFuels!I$4:I$1000)</f>
        <v>2.383982578060257E-3</v>
      </c>
      <c r="K651" s="1" cm="1">
        <f t="array" ref="K651">SUMPRODUCT(("SUP_WODBIOCCS"=[1]OUT_SyntheticFuels!$C$4:$C$1000)*1,("CWOD"=[1]OUT_SyntheticFuels!$A$4:$A$1000)*1,("VAR_FIN"=[1]OUT_SyntheticFuels!$B$4:$B$1000)*1,[1]OUT_SyntheticFuels!J$4:J$1000)</f>
        <v>2.2961308934633653</v>
      </c>
    </row>
    <row r="652" spans="2:11" x14ac:dyDescent="0.35">
      <c r="B652" s="5" t="str">
        <f t="shared" si="384"/>
        <v>SPS2</v>
      </c>
      <c r="C652" s="5" t="s">
        <v>7</v>
      </c>
      <c r="D652" s="2" t="s">
        <v>388</v>
      </c>
      <c r="E652" s="9" t="s">
        <v>8</v>
      </c>
      <c r="F652" s="14" t="s">
        <v>292</v>
      </c>
      <c r="G652" s="14" t="s">
        <v>292</v>
      </c>
      <c r="H652" s="14" t="s">
        <v>292</v>
      </c>
      <c r="I652" s="14" t="s">
        <v>292</v>
      </c>
      <c r="J652" s="14" t="s">
        <v>292</v>
      </c>
      <c r="K652" s="14" t="s">
        <v>292</v>
      </c>
    </row>
    <row r="653" spans="2:11" x14ac:dyDescent="0.35">
      <c r="B653" s="5" t="str">
        <f t="shared" si="384"/>
        <v>SPS2</v>
      </c>
      <c r="C653" s="5" t="s">
        <v>7</v>
      </c>
      <c r="D653" t="s">
        <v>351</v>
      </c>
      <c r="E653" s="5" t="s">
        <v>8</v>
      </c>
      <c r="F653" s="4">
        <f t="shared" ref="F653:K653" si="416">IFERROR(SUM(F633,F623,F613)/F643,"-")</f>
        <v>0.34965034965035002</v>
      </c>
      <c r="G653" s="4">
        <f t="shared" si="416"/>
        <v>0.34965034965035041</v>
      </c>
      <c r="H653" s="4">
        <f t="shared" si="416"/>
        <v>0.34965034965034969</v>
      </c>
      <c r="I653" s="4">
        <f t="shared" si="416"/>
        <v>0.34965034965035019</v>
      </c>
      <c r="J653" s="4">
        <f t="shared" si="416"/>
        <v>0.34965034965035002</v>
      </c>
      <c r="K653" s="4">
        <f t="shared" si="416"/>
        <v>0.34965034965034941</v>
      </c>
    </row>
    <row r="654" spans="2:11" x14ac:dyDescent="0.35">
      <c r="B654" s="5" t="str">
        <f t="shared" si="384"/>
        <v>SPS2</v>
      </c>
      <c r="C654" s="5" t="s">
        <v>7</v>
      </c>
      <c r="D654" t="s">
        <v>352</v>
      </c>
      <c r="E654" s="5" t="s">
        <v>8</v>
      </c>
      <c r="F654" s="4">
        <f t="shared" ref="F654:K657" si="417">IFERROR(SUM(F635,F625,F615)/F645,"-")</f>
        <v>0.59322033898305038</v>
      </c>
      <c r="G654" s="4">
        <f t="shared" si="417"/>
        <v>0.59322033898305115</v>
      </c>
      <c r="H654" s="4">
        <f t="shared" si="417"/>
        <v>0.59322033898305071</v>
      </c>
      <c r="I654" s="4">
        <f t="shared" si="417"/>
        <v>0.59322033898305082</v>
      </c>
      <c r="J654" s="4">
        <f t="shared" si="417"/>
        <v>0.59322033898305115</v>
      </c>
      <c r="K654" s="4">
        <f t="shared" si="417"/>
        <v>0.59322033898305127</v>
      </c>
    </row>
    <row r="655" spans="2:11" x14ac:dyDescent="0.35">
      <c r="B655" s="5" t="str">
        <f t="shared" si="384"/>
        <v>SPS2</v>
      </c>
      <c r="C655" s="5" t="s">
        <v>7</v>
      </c>
      <c r="D655" t="s">
        <v>353</v>
      </c>
      <c r="E655" s="5" t="s">
        <v>8</v>
      </c>
      <c r="F655" s="4" t="str">
        <f t="shared" si="417"/>
        <v>-</v>
      </c>
      <c r="G655" s="4" t="str">
        <f t="shared" si="417"/>
        <v>-</v>
      </c>
      <c r="H655" s="4" t="str">
        <f t="shared" si="417"/>
        <v>-</v>
      </c>
      <c r="I655" s="4" t="str">
        <f t="shared" si="417"/>
        <v>-</v>
      </c>
      <c r="J655" s="4" t="str">
        <f t="shared" si="417"/>
        <v>-</v>
      </c>
      <c r="K655" s="4" t="str">
        <f t="shared" si="417"/>
        <v>-</v>
      </c>
    </row>
    <row r="656" spans="2:11" x14ac:dyDescent="0.35">
      <c r="B656" s="5" t="str">
        <f t="shared" si="384"/>
        <v>SPS2</v>
      </c>
      <c r="C656" s="5" t="s">
        <v>7</v>
      </c>
      <c r="D656" t="s">
        <v>354</v>
      </c>
      <c r="E656" s="5" t="s">
        <v>8</v>
      </c>
      <c r="F656" s="4" t="str">
        <f t="shared" si="417"/>
        <v>-</v>
      </c>
      <c r="G656" s="4" t="str">
        <f t="shared" si="417"/>
        <v>-</v>
      </c>
      <c r="H656" s="4" t="str">
        <f t="shared" si="417"/>
        <v>-</v>
      </c>
      <c r="I656" s="4" t="str">
        <f t="shared" si="417"/>
        <v>-</v>
      </c>
      <c r="J656" s="4">
        <f t="shared" si="417"/>
        <v>0.70000000000000018</v>
      </c>
      <c r="K656" s="4">
        <f t="shared" si="417"/>
        <v>0.69999999999999962</v>
      </c>
    </row>
    <row r="657" spans="2:11" x14ac:dyDescent="0.35">
      <c r="B657" s="5" t="str">
        <f t="shared" si="384"/>
        <v>SPS2</v>
      </c>
      <c r="C657" s="5" t="s">
        <v>7</v>
      </c>
      <c r="D657" t="s">
        <v>355</v>
      </c>
      <c r="E657" s="5" t="s">
        <v>8</v>
      </c>
      <c r="F657" s="4" t="str">
        <f t="shared" si="417"/>
        <v>-</v>
      </c>
      <c r="G657" s="4" t="str">
        <f t="shared" si="417"/>
        <v>-</v>
      </c>
      <c r="H657" s="4" t="str">
        <f t="shared" si="417"/>
        <v>-</v>
      </c>
      <c r="I657" s="4" t="str">
        <f t="shared" si="417"/>
        <v>-</v>
      </c>
      <c r="J657" s="4">
        <f t="shared" si="417"/>
        <v>0.62999999999999945</v>
      </c>
      <c r="K657" s="4">
        <f t="shared" si="417"/>
        <v>0.63000000000000067</v>
      </c>
    </row>
    <row r="658" spans="2:11" x14ac:dyDescent="0.35">
      <c r="B658" s="5" t="str">
        <f t="shared" si="384"/>
        <v>SPS2</v>
      </c>
      <c r="C658" s="5" t="s">
        <v>7</v>
      </c>
      <c r="D658" t="s">
        <v>356</v>
      </c>
      <c r="E658" s="5" t="s">
        <v>8</v>
      </c>
      <c r="F658" s="4" t="str">
        <f t="shared" ref="F658:K659" si="418">IFERROR(SUM(F640,F630,F620)/F650,"-")</f>
        <v>-</v>
      </c>
      <c r="G658" s="4">
        <f t="shared" si="418"/>
        <v>0.85925925925925883</v>
      </c>
      <c r="H658" s="4">
        <f t="shared" si="418"/>
        <v>0.8592592592592585</v>
      </c>
      <c r="I658" s="4">
        <f t="shared" si="418"/>
        <v>0.85925925925925917</v>
      </c>
      <c r="J658" s="4">
        <f t="shared" si="418"/>
        <v>0.85925925925925828</v>
      </c>
      <c r="K658" s="4">
        <f t="shared" si="418"/>
        <v>0.85925925925925883</v>
      </c>
    </row>
    <row r="659" spans="2:11" x14ac:dyDescent="0.35">
      <c r="B659" s="5" t="str">
        <f t="shared" si="384"/>
        <v>SPS2</v>
      </c>
      <c r="C659" s="5" t="s">
        <v>7</v>
      </c>
      <c r="D659" t="s">
        <v>357</v>
      </c>
      <c r="E659" s="5" t="s">
        <v>8</v>
      </c>
      <c r="F659" s="4" t="str">
        <f t="shared" si="418"/>
        <v>-</v>
      </c>
      <c r="G659" s="4" t="str">
        <f t="shared" si="418"/>
        <v>-</v>
      </c>
      <c r="H659" s="4" t="str">
        <f t="shared" si="418"/>
        <v>-</v>
      </c>
      <c r="I659" s="4" t="str">
        <f t="shared" si="418"/>
        <v>-</v>
      </c>
      <c r="J659" s="4">
        <f t="shared" si="418"/>
        <v>0.78021082046774248</v>
      </c>
      <c r="K659" s="4">
        <f t="shared" si="418"/>
        <v>0.77474574560196563</v>
      </c>
    </row>
    <row r="660" spans="2:11" x14ac:dyDescent="0.35">
      <c r="B660" s="9" t="str">
        <f t="shared" si="384"/>
        <v>SPS2</v>
      </c>
      <c r="C660" s="9" t="s">
        <v>7</v>
      </c>
      <c r="D660" s="2" t="s">
        <v>390</v>
      </c>
      <c r="E660" s="9" t="s">
        <v>8</v>
      </c>
      <c r="F660" s="3">
        <f>SUM(F661,F665,F674)</f>
        <v>4.1720028877363083E-3</v>
      </c>
      <c r="G660" s="3">
        <f t="shared" ref="G660:K660" si="419">SUM(G661,G665,G674)</f>
        <v>7.0518731168543866E-3</v>
      </c>
      <c r="H660" s="3">
        <f t="shared" si="419"/>
        <v>7.2979184769940125E-3</v>
      </c>
      <c r="I660" s="3">
        <f t="shared" si="419"/>
        <v>3.0711314027860703E-2</v>
      </c>
      <c r="J660" s="3">
        <f t="shared" si="419"/>
        <v>31.588147979738196</v>
      </c>
      <c r="K660" s="3">
        <f t="shared" si="419"/>
        <v>61.305597279541374</v>
      </c>
    </row>
    <row r="661" spans="2:11" x14ac:dyDescent="0.35">
      <c r="B661" t="str">
        <f t="shared" si="384"/>
        <v>SPS2</v>
      </c>
      <c r="C661" t="str">
        <f>C660</f>
        <v>CH</v>
      </c>
      <c r="D661" t="s">
        <v>916</v>
      </c>
      <c r="E661" s="5" t="s">
        <v>8</v>
      </c>
      <c r="F661" s="1">
        <f>[1]Other_transformation!B$28</f>
        <v>4.1720028877363083E-3</v>
      </c>
      <c r="G661" s="1">
        <f>[1]Other_transformation!C$28</f>
        <v>7.0518731168543866E-3</v>
      </c>
      <c r="H661" s="1">
        <f>[1]Other_transformation!D$28</f>
        <v>7.2979184769940125E-3</v>
      </c>
      <c r="I661" s="1">
        <f>[1]Other_transformation!E$28</f>
        <v>3.0530726106373397E-2</v>
      </c>
      <c r="J661" s="1">
        <f>[1]Other_transformation!F$28</f>
        <v>25.9028124167302</v>
      </c>
      <c r="K661" s="1">
        <f>[1]Other_transformation!G$28</f>
        <v>54.718516781954094</v>
      </c>
    </row>
    <row r="662" spans="2:11" x14ac:dyDescent="0.35">
      <c r="B662" t="str">
        <f t="shared" si="384"/>
        <v>SPS2</v>
      </c>
      <c r="C662" t="str">
        <f t="shared" ref="C662:C673" si="420">C661</f>
        <v>CH</v>
      </c>
      <c r="D662" t="s">
        <v>403</v>
      </c>
      <c r="E662" s="5" t="s">
        <v>8</v>
      </c>
      <c r="F662" s="1" cm="1">
        <f t="array" ref="F662">SUMPRODUCT(("SUP_ELCH2"=[1]OUT_SyntheticFuels!$C$4:$C$1000)*1,ISNUMBER(SEARCH("h2",[1]OUT_SyntheticFuels!$A$4:$A$1000))*1,("Var_Fout"=[1]OUT_SyntheticFuels!$B$4:$B$1000)*1,[1]OUT_SyntheticFuels!E$4:E$1000)</f>
        <v>4.1720028877363083E-3</v>
      </c>
      <c r="G662" s="1" cm="1">
        <f t="array" ref="G662">SUMPRODUCT(("SUP_ELCH2"=[1]OUT_SyntheticFuels!$C$4:$C$1000)*1,ISNUMBER(SEARCH("h2",[1]OUT_SyntheticFuels!$A$4:$A$1000))*1,("Var_Fout"=[1]OUT_SyntheticFuels!$B$4:$B$1000)*1,[1]OUT_SyntheticFuels!F$4:F$1000)</f>
        <v>7.0518731168543866E-3</v>
      </c>
      <c r="H662" s="1" cm="1">
        <f t="array" ref="H662">SUMPRODUCT(("SUP_ELCH2"=[1]OUT_SyntheticFuels!$C$4:$C$1000)*1,ISNUMBER(SEARCH("h2",[1]OUT_SyntheticFuels!$A$4:$A$1000))*1,("Var_Fout"=[1]OUT_SyntheticFuels!$B$4:$B$1000)*1,[1]OUT_SyntheticFuels!G$4:G$1000)</f>
        <v>7.2979184769940125E-3</v>
      </c>
      <c r="I662" s="1" cm="1">
        <f t="array" ref="I662">SUMPRODUCT(("SUP_ELCH2"=[1]OUT_SyntheticFuels!$C$4:$C$1000)*1,ISNUMBER(SEARCH("h2",[1]OUT_SyntheticFuels!$A$4:$A$1000))*1,("Var_Fout"=[1]OUT_SyntheticFuels!$B$4:$B$1000)*1,[1]OUT_SyntheticFuels!H$4:H$1000)</f>
        <v>4.2214065407807878E-3</v>
      </c>
      <c r="J662" s="1" cm="1">
        <f t="array" ref="J662">SUMPRODUCT(("SUP_ELCH2"=[1]OUT_SyntheticFuels!$C$4:$C$1000)*1,ISNUMBER(SEARCH("h2",[1]OUT_SyntheticFuels!$A$4:$A$1000))*1,("Var_Fout"=[1]OUT_SyntheticFuels!$B$4:$B$1000)*1,[1]OUT_SyntheticFuels!I$4:I$1000)</f>
        <v>13.225361229905644</v>
      </c>
      <c r="K662" s="1" cm="1">
        <f t="array" ref="K662">SUMPRODUCT(("SUP_ELCH2"=[1]OUT_SyntheticFuels!$C$4:$C$1000)*1,ISNUMBER(SEARCH("h2",[1]OUT_SyntheticFuels!$A$4:$A$1000))*1,("Var_Fout"=[1]OUT_SyntheticFuels!$B$4:$B$1000)*1,[1]OUT_SyntheticFuels!J$4:J$1000)</f>
        <v>25.197010202798577</v>
      </c>
    </row>
    <row r="663" spans="2:11" x14ac:dyDescent="0.35">
      <c r="B663" t="str">
        <f t="shared" si="384"/>
        <v>SPS2</v>
      </c>
      <c r="C663" t="str">
        <f t="shared" ref="C663" si="421">C662</f>
        <v>CH</v>
      </c>
      <c r="D663" t="s">
        <v>402</v>
      </c>
      <c r="E663" s="5" t="s">
        <v>8</v>
      </c>
      <c r="F663" s="1" cm="1">
        <f t="array" ref="F663">SUMPRODUCT(("SUP_ELCH2_D"=[1]OUT_SyntheticFuels!$C$4:$C$1000)*1,ISNUMBER(SEARCH("h2",[1]OUT_SyntheticFuels!$A$4:$A$1000))*1,("Var_Fout"=[1]OUT_SyntheticFuels!$B$4:$B$1000)*1,[1]OUT_SyntheticFuels!E$4:E$1000)</f>
        <v>0</v>
      </c>
      <c r="G663" s="1" cm="1">
        <f t="array" ref="G663">SUMPRODUCT(("SUP_ELCH2_D"=[1]OUT_SyntheticFuels!$C$4:$C$1000)*1,ISNUMBER(SEARCH("h2",[1]OUT_SyntheticFuels!$A$4:$A$1000))*1,("Var_Fout"=[1]OUT_SyntheticFuels!$B$4:$B$1000)*1,[1]OUT_SyntheticFuels!F$4:F$1000)</f>
        <v>0</v>
      </c>
      <c r="H663" s="1" cm="1">
        <f t="array" ref="H663">SUMPRODUCT(("SUP_ELCH2_D"=[1]OUT_SyntheticFuels!$C$4:$C$1000)*1,ISNUMBER(SEARCH("h2",[1]OUT_SyntheticFuels!$A$4:$A$1000))*1,("Var_Fout"=[1]OUT_SyntheticFuels!$B$4:$B$1000)*1,[1]OUT_SyntheticFuels!G$4:G$1000)</f>
        <v>0</v>
      </c>
      <c r="I663" s="1" cm="1">
        <f t="array" ref="I663">SUMPRODUCT(("SUP_ELCH2_D"=[1]OUT_SyntheticFuels!$C$4:$C$1000)*1,ISNUMBER(SEARCH("h2",[1]OUT_SyntheticFuels!$A$4:$A$1000))*1,("Var_Fout"=[1]OUT_SyntheticFuels!$B$4:$B$1000)*1,[1]OUT_SyntheticFuels!H$4:H$1000)</f>
        <v>2.6309319565592609E-2</v>
      </c>
      <c r="J663" s="1" cm="1">
        <f t="array" ref="J663">SUMPRODUCT(("SUP_ELCH2_D"=[1]OUT_SyntheticFuels!$C$4:$C$1000)*1,ISNUMBER(SEARCH("h2",[1]OUT_SyntheticFuels!$A$4:$A$1000))*1,("Var_Fout"=[1]OUT_SyntheticFuels!$B$4:$B$1000)*1,[1]OUT_SyntheticFuels!I$4:I$1000)</f>
        <v>12.649739978132168</v>
      </c>
      <c r="K663" s="1" cm="1">
        <f t="array" ref="K663">SUMPRODUCT(("SUP_ELCH2_D"=[1]OUT_SyntheticFuels!$C$4:$C$1000)*1,ISNUMBER(SEARCH("h2",[1]OUT_SyntheticFuels!$A$4:$A$1000))*1,("Var_Fout"=[1]OUT_SyntheticFuels!$B$4:$B$1000)*1,[1]OUT_SyntheticFuels!J$4:J$1000)</f>
        <v>29.382989195779846</v>
      </c>
    </row>
    <row r="664" spans="2:11" x14ac:dyDescent="0.35">
      <c r="B664" t="str">
        <f t="shared" si="384"/>
        <v>SPS2</v>
      </c>
      <c r="C664" t="str">
        <f>C662</f>
        <v>CH</v>
      </c>
      <c r="D664" t="s">
        <v>391</v>
      </c>
      <c r="E664" s="5" t="s">
        <v>8</v>
      </c>
      <c r="F664" s="1" cm="1">
        <f t="array" ref="F664">SUMPRODUCT(("SUP_ELCH2_SOEC"=[1]OUT_SyntheticFuels!$C$4:$C$1000)*1,ISNUMBER(SEARCH("H2",[1]OUT_SyntheticFuels!$A$4:$A$1000))*1,("Var_Fout"=[1]OUT_SyntheticFuels!$B$4:$B$1000)*1,[1]OUT_SyntheticFuels!E$4:E$1000)</f>
        <v>0</v>
      </c>
      <c r="G664" s="1" cm="1">
        <f t="array" ref="G664">SUMPRODUCT(("SUP_ELCH2_SOEC"=[1]OUT_SyntheticFuels!$C$4:$C$1000)*1,ISNUMBER(SEARCH("H2",[1]OUT_SyntheticFuels!$A$4:$A$1000))*1,("Var_Fout"=[1]OUT_SyntheticFuels!$B$4:$B$1000)*1,[1]OUT_SyntheticFuels!F$4:F$1000)</f>
        <v>0</v>
      </c>
      <c r="H664" s="1" cm="1">
        <f t="array" ref="H664">SUMPRODUCT(("SUP_ELCH2_SOEC"=[1]OUT_SyntheticFuels!$C$4:$C$1000)*1,ISNUMBER(SEARCH("H2",[1]OUT_SyntheticFuels!$A$4:$A$1000))*1,("Var_Fout"=[1]OUT_SyntheticFuels!$B$4:$B$1000)*1,[1]OUT_SyntheticFuels!G$4:G$1000)</f>
        <v>0</v>
      </c>
      <c r="I664" s="1" cm="1">
        <f t="array" ref="I664">SUMPRODUCT(("SUP_ELCH2_SOEC"=[1]OUT_SyntheticFuels!$C$4:$C$1000)*1,ISNUMBER(SEARCH("H2",[1]OUT_SyntheticFuels!$A$4:$A$1000))*1,("Var_Fout"=[1]OUT_SyntheticFuels!$B$4:$B$1000)*1,[1]OUT_SyntheticFuels!H$4:H$1000)</f>
        <v>0</v>
      </c>
      <c r="J664" s="1" cm="1">
        <f t="array" ref="J664">SUMPRODUCT(("SUP_ELCH2_SOEC"=[1]OUT_SyntheticFuels!$C$4:$C$1000)*1,ISNUMBER(SEARCH("H2",[1]OUT_SyntheticFuels!$A$4:$A$1000))*1,("Var_Fout"=[1]OUT_SyntheticFuels!$B$4:$B$1000)*1,[1]OUT_SyntheticFuels!I$4:I$1000)</f>
        <v>2.7711208692389119E-2</v>
      </c>
      <c r="K664" s="1" cm="1">
        <f t="array" ref="K664">SUMPRODUCT(("SUP_ELCH2_SOEC"=[1]OUT_SyntheticFuels!$C$4:$C$1000)*1,ISNUMBER(SEARCH("H2",[1]OUT_SyntheticFuels!$A$4:$A$1000))*1,("Var_Fout"=[1]OUT_SyntheticFuels!$B$4:$B$1000)*1,[1]OUT_SyntheticFuels!J$4:J$1000)</f>
        <v>0.1385173833756729</v>
      </c>
    </row>
    <row r="665" spans="2:11" x14ac:dyDescent="0.35">
      <c r="B665" t="str">
        <f t="shared" si="384"/>
        <v>SPS2</v>
      </c>
      <c r="C665" t="str">
        <f t="shared" si="420"/>
        <v>CH</v>
      </c>
      <c r="D665" t="s">
        <v>917</v>
      </c>
      <c r="E665" s="5" t="s">
        <v>8</v>
      </c>
      <c r="F665" s="1">
        <f>SUM([1]Other_transformation!B$29:B$30)</f>
        <v>0</v>
      </c>
      <c r="G665" s="1">
        <f>SUM([1]Other_transformation!C$29:C$30)</f>
        <v>0</v>
      </c>
      <c r="H665" s="1">
        <f>SUM([1]Other_transformation!D$29:D$30)</f>
        <v>0</v>
      </c>
      <c r="I665" s="1">
        <f>SUM([1]Other_transformation!E$29:E$30)</f>
        <v>0</v>
      </c>
      <c r="J665" s="1">
        <f>SUM([1]Other_transformation!F$29:F$30)</f>
        <v>0</v>
      </c>
      <c r="K665" s="1">
        <f>SUM([1]Other_transformation!G$29:G$30)</f>
        <v>8.3185055167600867E-4</v>
      </c>
    </row>
    <row r="666" spans="2:11" x14ac:dyDescent="0.35">
      <c r="B666" t="str">
        <f t="shared" si="384"/>
        <v>SPS2</v>
      </c>
      <c r="C666" t="str">
        <f t="shared" si="420"/>
        <v>CH</v>
      </c>
      <c r="D666" t="s">
        <v>392</v>
      </c>
      <c r="E666" s="5" t="s">
        <v>8</v>
      </c>
      <c r="F666" s="1">
        <f>[1]Other_transformation!B$29</f>
        <v>0</v>
      </c>
      <c r="G666" s="1">
        <f>[1]Other_transformation!C$29</f>
        <v>0</v>
      </c>
      <c r="H666" s="1">
        <f>[1]Other_transformation!D$29</f>
        <v>0</v>
      </c>
      <c r="I666" s="1">
        <f>[1]Other_transformation!E$29</f>
        <v>0</v>
      </c>
      <c r="J666" s="1">
        <f>[1]Other_transformation!F$29</f>
        <v>0</v>
      </c>
      <c r="K666" s="1">
        <f>[1]Other_transformation!G$29</f>
        <v>1.9149825084798866E-4</v>
      </c>
    </row>
    <row r="667" spans="2:11" x14ac:dyDescent="0.35">
      <c r="B667" t="str">
        <f t="shared" si="384"/>
        <v>SPS2</v>
      </c>
      <c r="C667" t="str">
        <f t="shared" si="420"/>
        <v>CH</v>
      </c>
      <c r="D667" t="s">
        <v>393</v>
      </c>
      <c r="E667" s="5" t="s">
        <v>8</v>
      </c>
      <c r="F667" s="1">
        <f>[1]Other_transformation!B$30</f>
        <v>0</v>
      </c>
      <c r="G667" s="1">
        <f>[1]Other_transformation!C$30</f>
        <v>0</v>
      </c>
      <c r="H667" s="1">
        <f>[1]Other_transformation!D$30</f>
        <v>0</v>
      </c>
      <c r="I667" s="1">
        <f>[1]Other_transformation!E$30</f>
        <v>0</v>
      </c>
      <c r="J667" s="1">
        <f>[1]Other_transformation!F$30</f>
        <v>0</v>
      </c>
      <c r="K667" s="1">
        <f>[1]Other_transformation!G$30</f>
        <v>6.4035230082802E-4</v>
      </c>
    </row>
    <row r="668" spans="2:11" x14ac:dyDescent="0.35">
      <c r="B668" t="str">
        <f t="shared" si="384"/>
        <v>SPS2</v>
      </c>
      <c r="C668" t="str">
        <f t="shared" si="420"/>
        <v>CH</v>
      </c>
      <c r="D668" t="s">
        <v>918</v>
      </c>
      <c r="E668" s="5" t="s">
        <v>8</v>
      </c>
      <c r="F668" s="1">
        <f>F665-F671</f>
        <v>0</v>
      </c>
      <c r="G668" s="1">
        <f t="shared" ref="G668:K668" si="422">G665-G671</f>
        <v>0</v>
      </c>
      <c r="H668" s="1">
        <f t="shared" si="422"/>
        <v>0</v>
      </c>
      <c r="I668" s="1">
        <f t="shared" si="422"/>
        <v>0</v>
      </c>
      <c r="J668" s="1">
        <f t="shared" si="422"/>
        <v>0</v>
      </c>
      <c r="K668" s="1">
        <f t="shared" si="422"/>
        <v>0</v>
      </c>
    </row>
    <row r="669" spans="2:11" x14ac:dyDescent="0.35">
      <c r="B669" t="str">
        <f t="shared" si="384"/>
        <v>SPS2</v>
      </c>
      <c r="C669" t="str">
        <f t="shared" si="420"/>
        <v>CH</v>
      </c>
      <c r="D669" t="s">
        <v>607</v>
      </c>
      <c r="E669" s="5" t="s">
        <v>8</v>
      </c>
      <c r="F669" s="1">
        <f t="shared" ref="F669:K669" si="423">F666-F672</f>
        <v>0</v>
      </c>
      <c r="G669" s="1">
        <f t="shared" si="423"/>
        <v>0</v>
      </c>
      <c r="H669" s="1">
        <f t="shared" si="423"/>
        <v>0</v>
      </c>
      <c r="I669" s="1">
        <f t="shared" si="423"/>
        <v>0</v>
      </c>
      <c r="J669" s="1">
        <f t="shared" si="423"/>
        <v>0</v>
      </c>
      <c r="K669" s="1">
        <f t="shared" si="423"/>
        <v>0</v>
      </c>
    </row>
    <row r="670" spans="2:11" x14ac:dyDescent="0.35">
      <c r="B670" t="str">
        <f t="shared" si="384"/>
        <v>SPS2</v>
      </c>
      <c r="C670" t="str">
        <f t="shared" si="420"/>
        <v>CH</v>
      </c>
      <c r="D670" t="s">
        <v>608</v>
      </c>
      <c r="E670" s="5" t="s">
        <v>8</v>
      </c>
      <c r="F670" s="1">
        <f t="shared" ref="F670:K670" si="424">F667-F673</f>
        <v>0</v>
      </c>
      <c r="G670" s="1">
        <f t="shared" si="424"/>
        <v>0</v>
      </c>
      <c r="H670" s="1">
        <f t="shared" si="424"/>
        <v>0</v>
      </c>
      <c r="I670" s="1">
        <f t="shared" si="424"/>
        <v>0</v>
      </c>
      <c r="J670" s="1">
        <f t="shared" si="424"/>
        <v>0</v>
      </c>
      <c r="K670" s="1">
        <f t="shared" si="424"/>
        <v>0</v>
      </c>
    </row>
    <row r="671" spans="2:11" x14ac:dyDescent="0.35">
      <c r="B671" t="str">
        <f t="shared" si="384"/>
        <v>SPS2</v>
      </c>
      <c r="C671" t="str">
        <f t="shared" si="420"/>
        <v>CH</v>
      </c>
      <c r="D671" t="s">
        <v>919</v>
      </c>
      <c r="E671" s="5" t="s">
        <v>8</v>
      </c>
      <c r="F671" s="1">
        <f>SUM(F672:F673)</f>
        <v>0</v>
      </c>
      <c r="G671" s="1">
        <f t="shared" ref="G671:K671" si="425">SUM(G672:G673)</f>
        <v>0</v>
      </c>
      <c r="H671" s="1">
        <f t="shared" si="425"/>
        <v>0</v>
      </c>
      <c r="I671" s="1">
        <f t="shared" si="425"/>
        <v>0</v>
      </c>
      <c r="J671" s="1">
        <f t="shared" si="425"/>
        <v>0</v>
      </c>
      <c r="K671" s="1">
        <f t="shared" si="425"/>
        <v>8.3185055167600867E-4</v>
      </c>
    </row>
    <row r="672" spans="2:11" x14ac:dyDescent="0.35">
      <c r="B672" t="str">
        <f t="shared" si="384"/>
        <v>SPS2</v>
      </c>
      <c r="C672" t="str">
        <f t="shared" si="420"/>
        <v>CH</v>
      </c>
      <c r="D672" t="s">
        <v>668</v>
      </c>
      <c r="E672" s="5" t="s">
        <v>8</v>
      </c>
      <c r="F672" s="1">
        <f>IFERROR([1]Energy_Balances!B$157/([1]Energy_Balances!B$157+[1]Energy_Balances!B$72),0)*F666</f>
        <v>0</v>
      </c>
      <c r="G672" s="1">
        <f>IFERROR([1]Energy_Balances!C$157/([1]Energy_Balances!C$157+[1]Energy_Balances!C$72),0)*G666</f>
        <v>0</v>
      </c>
      <c r="H672" s="1">
        <f>IFERROR([1]Energy_Balances!D$157/([1]Energy_Balances!D$157+[1]Energy_Balances!D$72),0)*H666</f>
        <v>0</v>
      </c>
      <c r="I672" s="1">
        <f>IFERROR([1]Energy_Balances!E$157/([1]Energy_Balances!E$157+[1]Energy_Balances!E$72),0)*I666</f>
        <v>0</v>
      </c>
      <c r="J672" s="1">
        <f>IFERROR([1]Energy_Balances!F$157/([1]Energy_Balances!F$157+[1]Energy_Balances!F$72),0)*J666</f>
        <v>0</v>
      </c>
      <c r="K672" s="1">
        <f>IFERROR([1]Energy_Balances!G$157/([1]Energy_Balances!G$157+[1]Energy_Balances!G$72),0)*K666</f>
        <v>1.9149825084798866E-4</v>
      </c>
    </row>
    <row r="673" spans="2:11" x14ac:dyDescent="0.35">
      <c r="B673" t="str">
        <f t="shared" si="384"/>
        <v>SPS2</v>
      </c>
      <c r="C673" t="str">
        <f t="shared" si="420"/>
        <v>CH</v>
      </c>
      <c r="D673" t="s">
        <v>669</v>
      </c>
      <c r="E673" s="5" t="s">
        <v>8</v>
      </c>
      <c r="F673" s="1">
        <f>IFERROR([1]Energy_Balances!B$157/([1]Energy_Balances!B$157+[1]Energy_Balances!B$72),0)*F667</f>
        <v>0</v>
      </c>
      <c r="G673" s="1">
        <f>IFERROR([1]Energy_Balances!C$157/([1]Energy_Balances!C$157+[1]Energy_Balances!C$72),0)*G667</f>
        <v>0</v>
      </c>
      <c r="H673" s="1">
        <f>IFERROR([1]Energy_Balances!D$157/([1]Energy_Balances!D$157+[1]Energy_Balances!D$72),0)*H667</f>
        <v>0</v>
      </c>
      <c r="I673" s="1">
        <f>IFERROR([1]Energy_Balances!E$157/([1]Energy_Balances!E$157+[1]Energy_Balances!E$72),0)*I667</f>
        <v>0</v>
      </c>
      <c r="J673" s="1">
        <f>IFERROR([1]Energy_Balances!F$157/([1]Energy_Balances!F$157+[1]Energy_Balances!F$72),0)*J667</f>
        <v>0</v>
      </c>
      <c r="K673" s="1">
        <f>IFERROR([1]Energy_Balances!G$157/([1]Energy_Balances!G$157+[1]Energy_Balances!G$72),0)*K667</f>
        <v>6.4035230082802E-4</v>
      </c>
    </row>
    <row r="674" spans="2:11" x14ac:dyDescent="0.35">
      <c r="B674" t="str">
        <f t="shared" si="384"/>
        <v>SPS2</v>
      </c>
      <c r="C674" t="str">
        <f t="shared" ref="C674:C676" si="426">C673</f>
        <v>CH</v>
      </c>
      <c r="D674" t="s">
        <v>920</v>
      </c>
      <c r="E674" s="5" t="s">
        <v>8</v>
      </c>
      <c r="F674" s="1">
        <f>SUM(F675:F676)</f>
        <v>0</v>
      </c>
      <c r="G674" s="1">
        <f t="shared" ref="G674:K674" si="427">SUM(G675:G676)</f>
        <v>0</v>
      </c>
      <c r="H674" s="1">
        <f t="shared" si="427"/>
        <v>0</v>
      </c>
      <c r="I674" s="1">
        <f t="shared" si="427"/>
        <v>1.8058792148730474E-4</v>
      </c>
      <c r="J674" s="1">
        <f t="shared" si="427"/>
        <v>5.6853355630079978</v>
      </c>
      <c r="K674" s="1">
        <f t="shared" si="427"/>
        <v>6.5862486470356014</v>
      </c>
    </row>
    <row r="675" spans="2:11" x14ac:dyDescent="0.35">
      <c r="B675" t="str">
        <f t="shared" si="384"/>
        <v>SPS2</v>
      </c>
      <c r="C675" t="str">
        <f t="shared" si="426"/>
        <v>CH</v>
      </c>
      <c r="D675" t="s">
        <v>394</v>
      </c>
      <c r="E675" s="5" t="s">
        <v>8</v>
      </c>
      <c r="F675" s="1">
        <f>[1]Other_transformation!B31</f>
        <v>0</v>
      </c>
      <c r="G675" s="1">
        <f>[1]Other_transformation!C31</f>
        <v>0</v>
      </c>
      <c r="H675" s="1">
        <f>[1]Other_transformation!D31</f>
        <v>0</v>
      </c>
      <c r="I675" s="1">
        <f>[1]Other_transformation!E31</f>
        <v>1.8058792148730474E-4</v>
      </c>
      <c r="J675" s="1">
        <f>[1]Other_transformation!F31</f>
        <v>5.6853355630079978</v>
      </c>
      <c r="K675" s="1">
        <f>[1]Other_transformation!G31</f>
        <v>0.99738136463595151</v>
      </c>
    </row>
    <row r="676" spans="2:11" x14ac:dyDescent="0.35">
      <c r="B676" t="str">
        <f t="shared" si="384"/>
        <v>SPS2</v>
      </c>
      <c r="C676" t="str">
        <f t="shared" si="426"/>
        <v>CH</v>
      </c>
      <c r="D676" t="s">
        <v>395</v>
      </c>
      <c r="E676" s="5" t="s">
        <v>8</v>
      </c>
      <c r="F676" s="1">
        <f>[1]Other_transformation!B32</f>
        <v>0</v>
      </c>
      <c r="G676" s="1">
        <f>[1]Other_transformation!C32</f>
        <v>0</v>
      </c>
      <c r="H676" s="1">
        <f>[1]Other_transformation!D32</f>
        <v>0</v>
      </c>
      <c r="I676" s="1">
        <f>[1]Other_transformation!E32</f>
        <v>0</v>
      </c>
      <c r="J676" s="1">
        <f>[1]Other_transformation!F32</f>
        <v>0</v>
      </c>
      <c r="K676" s="1">
        <f>[1]Other_transformation!G32</f>
        <v>5.5888672823996499</v>
      </c>
    </row>
    <row r="677" spans="2:11" x14ac:dyDescent="0.35">
      <c r="B677" s="9" t="str">
        <f t="shared" si="384"/>
        <v>SPS2</v>
      </c>
      <c r="C677" s="9" t="s">
        <v>7</v>
      </c>
      <c r="D677" s="2" t="s">
        <v>406</v>
      </c>
      <c r="E677" s="9" t="s">
        <v>8</v>
      </c>
      <c r="F677" s="3">
        <f>SUM(F678,F682,F684,F693)</f>
        <v>6.090515164578549E-3</v>
      </c>
      <c r="G677" s="3">
        <f t="shared" ref="G677:K677" si="428">SUM(G678,G682,G684,G693)</f>
        <v>1.016120045656251E-2</v>
      </c>
      <c r="H677" s="3">
        <f t="shared" si="428"/>
        <v>1.0315079119426156E-2</v>
      </c>
      <c r="I677" s="3">
        <f t="shared" si="428"/>
        <v>4.21238923436296E-2</v>
      </c>
      <c r="J677" s="3">
        <f t="shared" si="428"/>
        <v>42.894638600904301</v>
      </c>
      <c r="K677" s="3">
        <f t="shared" si="428"/>
        <v>78.014343445757447</v>
      </c>
    </row>
    <row r="678" spans="2:11" x14ac:dyDescent="0.35">
      <c r="B678" t="str">
        <f t="shared" si="384"/>
        <v>SPS2</v>
      </c>
      <c r="C678" t="str">
        <f>C677</f>
        <v>CH</v>
      </c>
      <c r="D678" t="s">
        <v>921</v>
      </c>
      <c r="E678" s="5" t="s">
        <v>8</v>
      </c>
      <c r="F678" s="1">
        <f>SUM(F679:F681)</f>
        <v>6.090515164578549E-3</v>
      </c>
      <c r="G678" s="1">
        <f t="shared" ref="G678:K678" si="429">SUM(G679:G681)</f>
        <v>1.016120045656251E-2</v>
      </c>
      <c r="H678" s="1">
        <f t="shared" si="429"/>
        <v>1.0315079119426156E-2</v>
      </c>
      <c r="I678" s="1">
        <f t="shared" si="429"/>
        <v>4.1822912474484095E-2</v>
      </c>
      <c r="J678" s="1">
        <f t="shared" si="429"/>
        <v>33.414938573902454</v>
      </c>
      <c r="K678" s="1">
        <f t="shared" si="429"/>
        <v>66.699492259690786</v>
      </c>
    </row>
    <row r="679" spans="2:11" x14ac:dyDescent="0.35">
      <c r="B679" t="str">
        <f t="shared" si="384"/>
        <v>SPS2</v>
      </c>
      <c r="C679" t="str">
        <f t="shared" ref="C679:C695" si="430">C678</f>
        <v>CH</v>
      </c>
      <c r="D679" t="s">
        <v>404</v>
      </c>
      <c r="E679" s="5" t="s">
        <v>8</v>
      </c>
      <c r="F679" s="1" cm="1">
        <f t="array" ref="F679">SUMPRODUCT(("SUP_ELCH2"=[1]OUT_SyntheticFuels!$C$4:$C$1000)*1,ISNUMBER(SEARCH("ELC",[1]OUT_SyntheticFuels!$A$4:$A$1000))*1,("Var_Fin"=[1]OUT_SyntheticFuels!$B$4:$B$1000)*1,[1]OUT_SyntheticFuels!E$4:E$1000)</f>
        <v>6.090515164578549E-3</v>
      </c>
      <c r="G679" s="1" cm="1">
        <f t="array" ref="G679">SUMPRODUCT(("SUP_ELCH2"=[1]OUT_SyntheticFuels!$C$4:$C$1000)*1,ISNUMBER(SEARCH("ELC",[1]OUT_SyntheticFuels!$A$4:$A$1000))*1,("Var_Fin"=[1]OUT_SyntheticFuels!$B$4:$B$1000)*1,[1]OUT_SyntheticFuels!F$4:F$1000)</f>
        <v>1.016120045656251E-2</v>
      </c>
      <c r="H679" s="1" cm="1">
        <f t="array" ref="H679">SUMPRODUCT(("SUP_ELCH2"=[1]OUT_SyntheticFuels!$C$4:$C$1000)*1,ISNUMBER(SEARCH("ELC",[1]OUT_SyntheticFuels!$A$4:$A$1000))*1,("Var_Fin"=[1]OUT_SyntheticFuels!$B$4:$B$1000)*1,[1]OUT_SyntheticFuels!G$4:G$1000)</f>
        <v>1.0315079119426156E-2</v>
      </c>
      <c r="I679" s="1" cm="1">
        <f t="array" ref="I679">SUMPRODUCT(("SUP_ELCH2"=[1]OUT_SyntheticFuels!$C$4:$C$1000)*1,ISNUMBER(SEARCH("ELC",[1]OUT_SyntheticFuels!$A$4:$A$1000))*1,("Var_Fin"=[1]OUT_SyntheticFuels!$B$4:$B$1000)*1,[1]OUT_SyntheticFuels!H$4:H$1000)</f>
        <v>5.7827486860010761E-3</v>
      </c>
      <c r="J679" s="1" cm="1">
        <f t="array" ref="J679">SUMPRODUCT(("SUP_ELCH2"=[1]OUT_SyntheticFuels!$C$4:$C$1000)*1,ISNUMBER(SEARCH("ELC",[1]OUT_SyntheticFuels!$A$4:$A$1000))*1,("Var_Fin"=[1]OUT_SyntheticFuels!$B$4:$B$1000)*1,[1]OUT_SyntheticFuels!I$4:I$1000)</f>
        <v>17.064982232136312</v>
      </c>
      <c r="K679" s="1" cm="1">
        <f t="array" ref="K679">SUMPRODUCT(("SUP_ELCH2"=[1]OUT_SyntheticFuels!$C$4:$C$1000)*1,ISNUMBER(SEARCH("ELC",[1]OUT_SyntheticFuels!$A$4:$A$1000))*1,("Var_Fin"=[1]OUT_SyntheticFuels!$B$4:$B$1000)*1,[1]OUT_SyntheticFuels!J$4:J$1000)</f>
        <v>30.728061222925071</v>
      </c>
    </row>
    <row r="680" spans="2:11" x14ac:dyDescent="0.35">
      <c r="B680" t="str">
        <f t="shared" si="384"/>
        <v>SPS2</v>
      </c>
      <c r="C680" t="str">
        <f t="shared" ref="C680" si="431">C679</f>
        <v>CH</v>
      </c>
      <c r="D680" t="s">
        <v>405</v>
      </c>
      <c r="E680" s="5" t="s">
        <v>8</v>
      </c>
      <c r="F680" s="1" cm="1">
        <f t="array" ref="F680">SUMPRODUCT(("SUP_ELCH2_D"=[1]OUT_SyntheticFuels!$C$4:$C$1000)*1,ISNUMBER(SEARCH("ELC",[1]OUT_SyntheticFuels!$A$4:$A$1000))*1,("Var_Fin"=[1]OUT_SyntheticFuels!$B$4:$B$1000)*1,[1]OUT_SyntheticFuels!E$4:E$1000)</f>
        <v>0</v>
      </c>
      <c r="G680" s="1" cm="1">
        <f t="array" ref="G680">SUMPRODUCT(("SUP_ELCH2_D"=[1]OUT_SyntheticFuels!$C$4:$C$1000)*1,ISNUMBER(SEARCH("ELC",[1]OUT_SyntheticFuels!$A$4:$A$1000))*1,("Var_Fin"=[1]OUT_SyntheticFuels!$B$4:$B$1000)*1,[1]OUT_SyntheticFuels!F$4:F$1000)</f>
        <v>0</v>
      </c>
      <c r="H680" s="1" cm="1">
        <f t="array" ref="H680">SUMPRODUCT(("SUP_ELCH2_D"=[1]OUT_SyntheticFuels!$C$4:$C$1000)*1,ISNUMBER(SEARCH("ELC",[1]OUT_SyntheticFuels!$A$4:$A$1000))*1,("Var_Fin"=[1]OUT_SyntheticFuels!$B$4:$B$1000)*1,[1]OUT_SyntheticFuels!G$4:G$1000)</f>
        <v>0</v>
      </c>
      <c r="I680" s="1" cm="1">
        <f t="array" ref="I680">SUMPRODUCT(("SUP_ELCH2_D"=[1]OUT_SyntheticFuels!$C$4:$C$1000)*1,ISNUMBER(SEARCH("ELC",[1]OUT_SyntheticFuels!$A$4:$A$1000))*1,("Var_Fin"=[1]OUT_SyntheticFuels!$B$4:$B$1000)*1,[1]OUT_SyntheticFuels!H$4:H$1000)</f>
        <v>3.6040163788483022E-2</v>
      </c>
      <c r="J680" s="1" cm="1">
        <f t="array" ref="J680">SUMPRODUCT(("SUP_ELCH2_D"=[1]OUT_SyntheticFuels!$C$4:$C$1000)*1,ISNUMBER(SEARCH("ELC",[1]OUT_SyntheticFuels!$A$4:$A$1000))*1,("Var_Fin"=[1]OUT_SyntheticFuels!$B$4:$B$1000)*1,[1]OUT_SyntheticFuels!I$4:I$1000)</f>
        <v>16.322245133073757</v>
      </c>
      <c r="K680" s="1" cm="1">
        <f t="array" ref="K680">SUMPRODUCT(("SUP_ELCH2_D"=[1]OUT_SyntheticFuels!$C$4:$C$1000)*1,ISNUMBER(SEARCH("ELC",[1]OUT_SyntheticFuels!$A$4:$A$1000))*1,("Var_Fin"=[1]OUT_SyntheticFuels!$B$4:$B$1000)*1,[1]OUT_SyntheticFuels!J$4:J$1000)</f>
        <v>35.832913653390044</v>
      </c>
    </row>
    <row r="681" spans="2:11" x14ac:dyDescent="0.35">
      <c r="B681" t="str">
        <f t="shared" si="384"/>
        <v>SPS2</v>
      </c>
      <c r="C681" t="str">
        <f>C679</f>
        <v>CH</v>
      </c>
      <c r="D681" t="s">
        <v>396</v>
      </c>
      <c r="E681" s="5" t="s">
        <v>8</v>
      </c>
      <c r="F681" s="1" cm="1">
        <f t="array" ref="F681">SUMPRODUCT(("SUP_ELCH2_SOEC"=[1]OUT_SyntheticFuels!$C$4:$C$1000)*1,ISNUMBER(SEARCH("ELC",[1]OUT_SyntheticFuels!$A$4:$A$1000))*1,("Var_Fin"=[1]OUT_SyntheticFuels!$B$4:$B$1000)*1,[1]OUT_SyntheticFuels!E$4:E$1000)</f>
        <v>0</v>
      </c>
      <c r="G681" s="1" cm="1">
        <f t="array" ref="G681">SUMPRODUCT(("SUP_ELCH2_SOEC"=[1]OUT_SyntheticFuels!$C$4:$C$1000)*1,ISNUMBER(SEARCH("ELC",[1]OUT_SyntheticFuels!$A$4:$A$1000))*1,("Var_Fin"=[1]OUT_SyntheticFuels!$B$4:$B$1000)*1,[1]OUT_SyntheticFuels!F$4:F$1000)</f>
        <v>0</v>
      </c>
      <c r="H681" s="1" cm="1">
        <f t="array" ref="H681">SUMPRODUCT(("SUP_ELCH2_SOEC"=[1]OUT_SyntheticFuels!$C$4:$C$1000)*1,ISNUMBER(SEARCH("ELC",[1]OUT_SyntheticFuels!$A$4:$A$1000))*1,("Var_Fin"=[1]OUT_SyntheticFuels!$B$4:$B$1000)*1,[1]OUT_SyntheticFuels!G$4:G$1000)</f>
        <v>0</v>
      </c>
      <c r="I681" s="1" cm="1">
        <f t="array" ref="I681">SUMPRODUCT(("SUP_ELCH2_SOEC"=[1]OUT_SyntheticFuels!$C$4:$C$1000)*1,ISNUMBER(SEARCH("ELC",[1]OUT_SyntheticFuels!$A$4:$A$1000))*1,("Var_Fin"=[1]OUT_SyntheticFuels!$B$4:$B$1000)*1,[1]OUT_SyntheticFuels!H$4:H$1000)</f>
        <v>0</v>
      </c>
      <c r="J681" s="1" cm="1">
        <f t="array" ref="J681">SUMPRODUCT(("SUP_ELCH2_SOEC"=[1]OUT_SyntheticFuels!$C$4:$C$1000)*1,ISNUMBER(SEARCH("ELC",[1]OUT_SyntheticFuels!$A$4:$A$1000))*1,("Var_Fin"=[1]OUT_SyntheticFuels!$B$4:$B$1000)*1,[1]OUT_SyntheticFuels!I$4:I$1000)</f>
        <v>2.7711208692389119E-2</v>
      </c>
      <c r="K681" s="1" cm="1">
        <f t="array" ref="K681">SUMPRODUCT(("SUP_ELCH2_SOEC"=[1]OUT_SyntheticFuels!$C$4:$C$1000)*1,ISNUMBER(SEARCH("ELC",[1]OUT_SyntheticFuels!$A$4:$A$1000))*1,("Var_Fin"=[1]OUT_SyntheticFuels!$B$4:$B$1000)*1,[1]OUT_SyntheticFuels!J$4:J$1000)</f>
        <v>0.1385173833756729</v>
      </c>
    </row>
    <row r="682" spans="2:11" x14ac:dyDescent="0.35">
      <c r="B682" t="str">
        <f t="shared" si="384"/>
        <v>SPS2</v>
      </c>
      <c r="C682" t="str">
        <f t="shared" ref="C682:C683" si="432">C681</f>
        <v>CH</v>
      </c>
      <c r="D682" t="s">
        <v>922</v>
      </c>
      <c r="E682" s="5" t="s">
        <v>8</v>
      </c>
      <c r="F682" s="1">
        <f>F683</f>
        <v>0</v>
      </c>
      <c r="G682" s="1">
        <f t="shared" ref="G682:K682" si="433">G683</f>
        <v>0</v>
      </c>
      <c r="H682" s="1">
        <f t="shared" si="433"/>
        <v>0</v>
      </c>
      <c r="I682" s="1">
        <f t="shared" si="433"/>
        <v>0</v>
      </c>
      <c r="J682" s="1">
        <f t="shared" si="433"/>
        <v>4.1407553218512526E-3</v>
      </c>
      <c r="K682" s="1">
        <f t="shared" si="433"/>
        <v>1.5390820375074764E-2</v>
      </c>
    </row>
    <row r="683" spans="2:11" x14ac:dyDescent="0.35">
      <c r="B683" t="str">
        <f t="shared" si="384"/>
        <v>SPS2</v>
      </c>
      <c r="C683" t="str">
        <f t="shared" si="432"/>
        <v>CH</v>
      </c>
      <c r="D683" t="s">
        <v>401</v>
      </c>
      <c r="E683" s="5" t="s">
        <v>8</v>
      </c>
      <c r="F683" s="1" cm="1">
        <f t="array" ref="F683">SUMPRODUCT(("SUP_ELCH2_SOEC"=[1]OUT_SyntheticFuels!$C$4:$C$1000)*1,ISNUMBER(SEARCH("CHEAT",[1]OUT_SyntheticFuels!$A$4:$A$1000))*1,("Var_Fin"=[1]OUT_SyntheticFuels!$B$4:$B$1000)*1,[1]OUT_SyntheticFuels!E$4:E$1000)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SUMPRODUCT(("SUP_ELCH2_SOEC"=[1]OUT_SyntheticFuels!$C$4:$C$1000)*1,ISNUMBER(SEARCH("CHEAT",[1]OUT_SyntheticFuels!$A$4:$A$1000))*1,("Var_Fin"=[1]OUT_SyntheticFuels!$B$4:$B$1000)*1,[1]OUT_SyntheticFuels!F$4:F$1000)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SUMPRODUCT(("SUP_ELCH2_SOEC"=[1]OUT_SyntheticFuels!$C$4:$C$1000)*1,ISNUMBER(SEARCH("CHEAT",[1]OUT_SyntheticFuels!$A$4:$A$1000))*1,("Var_Fin"=[1]OUT_SyntheticFuels!$B$4:$B$1000)*1,[1]OUT_SyntheticFuels!G$4:G$1000)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SUMPRODUCT(("SUP_ELCH2_SOEC"=[1]OUT_SyntheticFuels!$C$4:$C$1000)*1,ISNUMBER(SEARCH("CHEAT",[1]OUT_SyntheticFuels!$A$4:$A$1000))*1,("Var_Fin"=[1]OUT_SyntheticFuels!$B$4:$B$1000)*1,[1]OUT_SyntheticFuels!H$4:H$1000)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SUMPRODUCT(("SUP_ELCH2_SOEC"=[1]OUT_SyntheticFuels!$C$4:$C$1000)*1,ISNUMBER(SEARCH("CHEAT",[1]OUT_SyntheticFuels!$A$4:$A$1000))*1,("Var_Fin"=[1]OUT_SyntheticFuels!$B$4:$B$1000)*1,[1]OUT_SyntheticFuels!I$4:I$1000)</f>
        <v>4.1407553218512526E-3</v>
      </c>
      <c r="K683" s="1" cm="1">
        <f t="array" ref="K683">SUMPRODUCT(("SUP_ELCH2_SOEC"=[1]OUT_SyntheticFuels!$C$4:$C$1000)*1,ISNUMBER(SEARCH("CHEAT",[1]OUT_SyntheticFuels!$A$4:$A$1000))*1,("Var_Fin"=[1]OUT_SyntheticFuels!$B$4:$B$1000)*1,[1]OUT_SyntheticFuels!J$4:J$1000)</f>
        <v>1.5390820375074764E-2</v>
      </c>
    </row>
    <row r="684" spans="2:11" x14ac:dyDescent="0.35">
      <c r="B684" t="str">
        <f t="shared" si="384"/>
        <v>SPS2</v>
      </c>
      <c r="C684" t="str">
        <f>C681</f>
        <v>CH</v>
      </c>
      <c r="D684" t="s">
        <v>923</v>
      </c>
      <c r="E684" s="5" t="s">
        <v>8</v>
      </c>
      <c r="F684" s="1">
        <f>SUM(F685:F686)</f>
        <v>0</v>
      </c>
      <c r="G684" s="1">
        <f t="shared" ref="G684:K684" si="434">SUM(G685:G686)</f>
        <v>0</v>
      </c>
      <c r="H684" s="1">
        <f t="shared" si="434"/>
        <v>0</v>
      </c>
      <c r="I684" s="1">
        <f t="shared" si="434"/>
        <v>0</v>
      </c>
      <c r="J684" s="1">
        <f t="shared" si="434"/>
        <v>0</v>
      </c>
      <c r="K684" s="1">
        <f t="shared" si="434"/>
        <v>1.1800181954889535E-3</v>
      </c>
    </row>
    <row r="685" spans="2:11" x14ac:dyDescent="0.35">
      <c r="B685" t="str">
        <f t="shared" si="384"/>
        <v>SPS2</v>
      </c>
      <c r="C685" t="str">
        <f t="shared" si="430"/>
        <v>CH</v>
      </c>
      <c r="D685" t="s">
        <v>397</v>
      </c>
      <c r="E685" s="5" t="s">
        <v>8</v>
      </c>
      <c r="F685" s="1" cm="1">
        <f t="array" ref="F685">SUMPRODUCT(("SUP_ngaH2"=[1]OUT_SyntheticFuels!$C$4:$C$1000)*1,ISNUMBER(SEARCH("nga",[1]OUT_SyntheticFuels!$A$4:$A$1000))*1,("Var_Fin"=[1]OUT_SyntheticFuels!$B$4:$B$1000)*1,[1]OUT_SyntheticFuels!E$4:E$1000)</f>
        <v>0</v>
      </c>
      <c r="G685" s="1" cm="1">
        <f t="array" ref="G685">SUMPRODUCT(("SUP_ngaH2"=[1]OUT_SyntheticFuels!$C$4:$C$1000)*1,ISNUMBER(SEARCH("nga",[1]OUT_SyntheticFuels!$A$4:$A$1000))*1,("Var_Fin"=[1]OUT_SyntheticFuels!$B$4:$B$1000)*1,[1]OUT_SyntheticFuels!F$4:F$1000)</f>
        <v>0</v>
      </c>
      <c r="H685" s="1" cm="1">
        <f t="array" ref="H685">SUMPRODUCT(("SUP_ngaH2"=[1]OUT_SyntheticFuels!$C$4:$C$1000)*1,ISNUMBER(SEARCH("nga",[1]OUT_SyntheticFuels!$A$4:$A$1000))*1,("Var_Fin"=[1]OUT_SyntheticFuels!$B$4:$B$1000)*1,[1]OUT_SyntheticFuels!G$4:G$1000)</f>
        <v>0</v>
      </c>
      <c r="I685" s="1" cm="1">
        <f t="array" ref="I685">SUMPRODUCT(("SUP_ngaH2"=[1]OUT_SyntheticFuels!$C$4:$C$1000)*1,ISNUMBER(SEARCH("nga",[1]OUT_SyntheticFuels!$A$4:$A$1000))*1,("Var_Fin"=[1]OUT_SyntheticFuels!$B$4:$B$1000)*1,[1]OUT_SyntheticFuels!H$4:H$1000)</f>
        <v>0</v>
      </c>
      <c r="J685" s="1" cm="1">
        <f t="array" ref="J685">SUMPRODUCT(("SUP_ngaH2"=[1]OUT_SyntheticFuels!$C$4:$C$1000)*1,ISNUMBER(SEARCH("nga",[1]OUT_SyntheticFuels!$A$4:$A$1000))*1,("Var_Fin"=[1]OUT_SyntheticFuels!$B$4:$B$1000)*1,[1]OUT_SyntheticFuels!I$4:I$1000)</f>
        <v>0</v>
      </c>
      <c r="K685" s="1" cm="1">
        <f t="array" ref="K685">SUMPRODUCT(("SUP_ngaH2"=[1]OUT_SyntheticFuels!$C$4:$C$1000)*1,ISNUMBER(SEARCH("nga",[1]OUT_SyntheticFuels!$A$4:$A$1000))*1,("Var_Fin"=[1]OUT_SyntheticFuels!$B$4:$B$1000)*1,[1]OUT_SyntheticFuels!J$4:J$1000)</f>
        <v>2.5197138269472213E-4</v>
      </c>
    </row>
    <row r="686" spans="2:11" x14ac:dyDescent="0.35">
      <c r="B686" t="str">
        <f t="shared" si="384"/>
        <v>SPS2</v>
      </c>
      <c r="C686" t="str">
        <f t="shared" si="430"/>
        <v>CH</v>
      </c>
      <c r="D686" t="s">
        <v>398</v>
      </c>
      <c r="E686" s="5" t="s">
        <v>8</v>
      </c>
      <c r="F686" s="1" cm="1">
        <f t="array" ref="F686">SUMPRODUCT(("SUP_ngaH2ccs"=[1]OUT_SyntheticFuels!$C$4:$C$1000)*1,ISNUMBER(SEARCH("nga",[1]OUT_SyntheticFuels!$A$4:$A$1000))*1,("Var_Fin"=[1]OUT_SyntheticFuels!$B$4:$B$1000)*1,[1]OUT_SyntheticFuels!E$4:E$1000)</f>
        <v>0</v>
      </c>
      <c r="G686" s="1" cm="1">
        <f t="array" ref="G686">SUMPRODUCT(("SUP_ngaH2ccs"=[1]OUT_SyntheticFuels!$C$4:$C$1000)*1,ISNUMBER(SEARCH("nga",[1]OUT_SyntheticFuels!$A$4:$A$1000))*1,("Var_Fin"=[1]OUT_SyntheticFuels!$B$4:$B$1000)*1,[1]OUT_SyntheticFuels!F$4:F$1000)</f>
        <v>0</v>
      </c>
      <c r="H686" s="1" cm="1">
        <f t="array" ref="H686">SUMPRODUCT(("SUP_ngaH2ccs"=[1]OUT_SyntheticFuels!$C$4:$C$1000)*1,ISNUMBER(SEARCH("nga",[1]OUT_SyntheticFuels!$A$4:$A$1000))*1,("Var_Fin"=[1]OUT_SyntheticFuels!$B$4:$B$1000)*1,[1]OUT_SyntheticFuels!G$4:G$1000)</f>
        <v>0</v>
      </c>
      <c r="I686" s="1" cm="1">
        <f t="array" ref="I686">SUMPRODUCT(("SUP_ngaH2ccs"=[1]OUT_SyntheticFuels!$C$4:$C$1000)*1,ISNUMBER(SEARCH("nga",[1]OUT_SyntheticFuels!$A$4:$A$1000))*1,("Var_Fin"=[1]OUT_SyntheticFuels!$B$4:$B$1000)*1,[1]OUT_SyntheticFuels!H$4:H$1000)</f>
        <v>0</v>
      </c>
      <c r="J686" s="1" cm="1">
        <f t="array" ref="J686">SUMPRODUCT(("SUP_ngaH2ccs"=[1]OUT_SyntheticFuels!$C$4:$C$1000)*1,ISNUMBER(SEARCH("nga",[1]OUT_SyntheticFuels!$A$4:$A$1000))*1,("Var_Fin"=[1]OUT_SyntheticFuels!$B$4:$B$1000)*1,[1]OUT_SyntheticFuels!I$4:I$1000)</f>
        <v>0</v>
      </c>
      <c r="K686" s="1" cm="1">
        <f t="array" ref="K686">SUMPRODUCT(("SUP_ngaH2ccs"=[1]OUT_SyntheticFuels!$C$4:$C$1000)*1,ISNUMBER(SEARCH("nga",[1]OUT_SyntheticFuels!$A$4:$A$1000))*1,("Var_Fin"=[1]OUT_SyntheticFuels!$B$4:$B$1000)*1,[1]OUT_SyntheticFuels!J$4:J$1000)</f>
        <v>9.2804681279423141E-4</v>
      </c>
    </row>
    <row r="687" spans="2:11" x14ac:dyDescent="0.35">
      <c r="B687" t="str">
        <f t="shared" si="384"/>
        <v>SPS2</v>
      </c>
      <c r="C687" t="str">
        <f t="shared" si="430"/>
        <v>CH</v>
      </c>
      <c r="D687" t="s">
        <v>924</v>
      </c>
      <c r="E687" s="5" t="s">
        <v>8</v>
      </c>
      <c r="F687" s="1">
        <f>F684-F690</f>
        <v>0</v>
      </c>
      <c r="G687" s="1">
        <f t="shared" ref="G687:K687" si="435">G684-G690</f>
        <v>0</v>
      </c>
      <c r="H687" s="1">
        <f t="shared" si="435"/>
        <v>0</v>
      </c>
      <c r="I687" s="1">
        <f t="shared" si="435"/>
        <v>0</v>
      </c>
      <c r="J687" s="1">
        <f t="shared" si="435"/>
        <v>0</v>
      </c>
      <c r="K687" s="1">
        <f t="shared" si="435"/>
        <v>0</v>
      </c>
    </row>
    <row r="688" spans="2:11" x14ac:dyDescent="0.35">
      <c r="B688" t="str">
        <f t="shared" si="384"/>
        <v>SPS2</v>
      </c>
      <c r="C688" t="str">
        <f t="shared" si="430"/>
        <v>CH</v>
      </c>
      <c r="D688" t="s">
        <v>609</v>
      </c>
      <c r="E688" s="5" t="s">
        <v>8</v>
      </c>
      <c r="F688" s="1">
        <f t="shared" ref="F688:K688" si="436">F685-F691</f>
        <v>0</v>
      </c>
      <c r="G688" s="1">
        <f t="shared" si="436"/>
        <v>0</v>
      </c>
      <c r="H688" s="1">
        <f t="shared" si="436"/>
        <v>0</v>
      </c>
      <c r="I688" s="1">
        <f t="shared" si="436"/>
        <v>0</v>
      </c>
      <c r="J688" s="1">
        <f t="shared" si="436"/>
        <v>0</v>
      </c>
      <c r="K688" s="1">
        <f t="shared" si="436"/>
        <v>0</v>
      </c>
    </row>
    <row r="689" spans="2:11" x14ac:dyDescent="0.35">
      <c r="B689" t="str">
        <f t="shared" si="384"/>
        <v>SPS2</v>
      </c>
      <c r="C689" t="str">
        <f t="shared" si="430"/>
        <v>CH</v>
      </c>
      <c r="D689" t="s">
        <v>610</v>
      </c>
      <c r="E689" s="5" t="s">
        <v>8</v>
      </c>
      <c r="F689" s="1">
        <f t="shared" ref="F689:K689" si="437">F686-F692</f>
        <v>0</v>
      </c>
      <c r="G689" s="1">
        <f t="shared" si="437"/>
        <v>0</v>
      </c>
      <c r="H689" s="1">
        <f t="shared" si="437"/>
        <v>0</v>
      </c>
      <c r="I689" s="1">
        <f t="shared" si="437"/>
        <v>0</v>
      </c>
      <c r="J689" s="1">
        <f t="shared" si="437"/>
        <v>0</v>
      </c>
      <c r="K689" s="1">
        <f t="shared" si="437"/>
        <v>0</v>
      </c>
    </row>
    <row r="690" spans="2:11" x14ac:dyDescent="0.35">
      <c r="B690" t="str">
        <f t="shared" si="384"/>
        <v>SPS2</v>
      </c>
      <c r="C690" t="str">
        <f t="shared" si="430"/>
        <v>CH</v>
      </c>
      <c r="D690" t="s">
        <v>925</v>
      </c>
      <c r="E690" s="5" t="s">
        <v>8</v>
      </c>
      <c r="F690" s="1">
        <f>SUM(F691:F692)</f>
        <v>0</v>
      </c>
      <c r="G690" s="1">
        <f t="shared" ref="G690:K690" si="438">SUM(G691:G692)</f>
        <v>0</v>
      </c>
      <c r="H690" s="1">
        <f t="shared" si="438"/>
        <v>0</v>
      </c>
      <c r="I690" s="1">
        <f t="shared" si="438"/>
        <v>0</v>
      </c>
      <c r="J690" s="1">
        <f t="shared" si="438"/>
        <v>0</v>
      </c>
      <c r="K690" s="1">
        <f t="shared" si="438"/>
        <v>1.1800181954889535E-3</v>
      </c>
    </row>
    <row r="691" spans="2:11" x14ac:dyDescent="0.35">
      <c r="B691" t="str">
        <f t="shared" si="384"/>
        <v>SPS2</v>
      </c>
      <c r="C691" t="str">
        <f t="shared" si="430"/>
        <v>CH</v>
      </c>
      <c r="D691" t="s">
        <v>670</v>
      </c>
      <c r="E691" s="5" t="s">
        <v>8</v>
      </c>
      <c r="F691" s="1">
        <f>IFERROR(F672/F666,0)*F685</f>
        <v>0</v>
      </c>
      <c r="G691" s="1">
        <f t="shared" ref="G691:K692" si="439">IFERROR(G672/G666,0)*G685</f>
        <v>0</v>
      </c>
      <c r="H691" s="1">
        <f t="shared" si="439"/>
        <v>0</v>
      </c>
      <c r="I691" s="1">
        <f t="shared" si="439"/>
        <v>0</v>
      </c>
      <c r="J691" s="1">
        <f t="shared" si="439"/>
        <v>0</v>
      </c>
      <c r="K691" s="1">
        <f t="shared" si="439"/>
        <v>2.5197138269472213E-4</v>
      </c>
    </row>
    <row r="692" spans="2:11" x14ac:dyDescent="0.35">
      <c r="B692" t="str">
        <f t="shared" ref="B692:B755" si="440">B691</f>
        <v>SPS2</v>
      </c>
      <c r="C692" t="str">
        <f t="shared" si="430"/>
        <v>CH</v>
      </c>
      <c r="D692" t="s">
        <v>671</v>
      </c>
      <c r="E692" s="5" t="s">
        <v>8</v>
      </c>
      <c r="F692" s="1">
        <f>IFERROR(F673/F667,0)*F686</f>
        <v>0</v>
      </c>
      <c r="G692" s="1">
        <f t="shared" si="439"/>
        <v>0</v>
      </c>
      <c r="H692" s="1">
        <f t="shared" si="439"/>
        <v>0</v>
      </c>
      <c r="I692" s="1">
        <f t="shared" si="439"/>
        <v>0</v>
      </c>
      <c r="J692" s="1">
        <f t="shared" si="439"/>
        <v>0</v>
      </c>
      <c r="K692" s="1">
        <f t="shared" si="439"/>
        <v>9.2804681279423141E-4</v>
      </c>
    </row>
    <row r="693" spans="2:11" x14ac:dyDescent="0.35">
      <c r="B693" t="str">
        <f t="shared" si="440"/>
        <v>SPS2</v>
      </c>
      <c r="C693" t="str">
        <f t="shared" si="430"/>
        <v>CH</v>
      </c>
      <c r="D693" t="s">
        <v>926</v>
      </c>
      <c r="E693" s="5" t="s">
        <v>8</v>
      </c>
      <c r="F693" s="1">
        <f>SUM(F694:F695)</f>
        <v>0</v>
      </c>
      <c r="G693" s="1">
        <f t="shared" ref="G693:K693" si="441">SUM(G694:G695)</f>
        <v>0</v>
      </c>
      <c r="H693" s="1">
        <f t="shared" si="441"/>
        <v>0</v>
      </c>
      <c r="I693" s="1">
        <f t="shared" si="441"/>
        <v>3.0097986914550832E-4</v>
      </c>
      <c r="J693" s="1">
        <f t="shared" si="441"/>
        <v>9.4755592716799981</v>
      </c>
      <c r="K693" s="1">
        <f t="shared" si="441"/>
        <v>11.298280347496101</v>
      </c>
    </row>
    <row r="694" spans="2:11" x14ac:dyDescent="0.35">
      <c r="B694" t="str">
        <f t="shared" si="440"/>
        <v>SPS2</v>
      </c>
      <c r="C694" t="str">
        <f t="shared" si="430"/>
        <v>CH</v>
      </c>
      <c r="D694" t="s">
        <v>399</v>
      </c>
      <c r="E694" s="5" t="s">
        <v>8</v>
      </c>
      <c r="F694" s="1" cm="1">
        <f t="array" ref="F694">SUMPRODUCT(("SUP_wodH2"=[1]OUT_SyntheticFuels!$C$4:$C$1000)*1,ISNUMBER(SEARCH("wod",[1]OUT_SyntheticFuels!$A$4:$A$1000))*1,("Var_Fin"=[1]OUT_SyntheticFuels!$B$4:$B$1000)*1,[1]OUT_SyntheticFuels!E$4:E$1000)</f>
        <v>0</v>
      </c>
      <c r="G694" s="1" cm="1">
        <f t="array" ref="G694">SUMPRODUCT(("SUP_wodH2"=[1]OUT_SyntheticFuels!$C$4:$C$1000)*1,ISNUMBER(SEARCH("wod",[1]OUT_SyntheticFuels!$A$4:$A$1000))*1,("Var_Fin"=[1]OUT_SyntheticFuels!$B$4:$B$1000)*1,[1]OUT_SyntheticFuels!F$4:F$1000)</f>
        <v>0</v>
      </c>
      <c r="H694" s="1" cm="1">
        <f t="array" ref="H694">SUMPRODUCT(("SUP_wodH2"=[1]OUT_SyntheticFuels!$C$4:$C$1000)*1,ISNUMBER(SEARCH("wod",[1]OUT_SyntheticFuels!$A$4:$A$1000))*1,("Var_Fin"=[1]OUT_SyntheticFuels!$B$4:$B$1000)*1,[1]OUT_SyntheticFuels!G$4:G$1000)</f>
        <v>0</v>
      </c>
      <c r="I694" s="1" cm="1">
        <f t="array" ref="I694">SUMPRODUCT(("SUP_wodH2"=[1]OUT_SyntheticFuels!$C$4:$C$1000)*1,ISNUMBER(SEARCH("wod",[1]OUT_SyntheticFuels!$A$4:$A$1000))*1,("Var_Fin"=[1]OUT_SyntheticFuels!$B$4:$B$1000)*1,[1]OUT_SyntheticFuels!H$4:H$1000)</f>
        <v>3.0097986914550832E-4</v>
      </c>
      <c r="J694" s="1" cm="1">
        <f t="array" ref="J694">SUMPRODUCT(("SUP_wodH2"=[1]OUT_SyntheticFuels!$C$4:$C$1000)*1,ISNUMBER(SEARCH("wod",[1]OUT_SyntheticFuels!$A$4:$A$1000))*1,("Var_Fin"=[1]OUT_SyntheticFuels!$B$4:$B$1000)*1,[1]OUT_SyntheticFuels!I$4:I$1000)</f>
        <v>9.4755592716799981</v>
      </c>
      <c r="K694" s="1" cm="1">
        <f t="array" ref="K694">SUMPRODUCT(("SUP_wodH2"=[1]OUT_SyntheticFuels!$C$4:$C$1000)*1,ISNUMBER(SEARCH("wod",[1]OUT_SyntheticFuels!$A$4:$A$1000))*1,("Var_Fin"=[1]OUT_SyntheticFuels!$B$4:$B$1000)*1,[1]OUT_SyntheticFuels!J$4:J$1000)</f>
        <v>1.6623022743932527</v>
      </c>
    </row>
    <row r="695" spans="2:11" x14ac:dyDescent="0.35">
      <c r="B695" t="str">
        <f t="shared" si="440"/>
        <v>SPS2</v>
      </c>
      <c r="C695" t="str">
        <f t="shared" si="430"/>
        <v>CH</v>
      </c>
      <c r="D695" t="s">
        <v>400</v>
      </c>
      <c r="E695" s="5" t="s">
        <v>8</v>
      </c>
      <c r="F695" s="1" cm="1">
        <f t="array" ref="F695">SUMPRODUCT(("SUP_wodH2ccs"=[1]OUT_SyntheticFuels!$C$4:$C$1000)*1,ISNUMBER(SEARCH("wod",[1]OUT_SyntheticFuels!$A$4:$A$1000))*1,("Var_Fin"=[1]OUT_SyntheticFuels!$B$4:$B$1000)*1,[1]OUT_SyntheticFuels!E$4:E$1000)</f>
        <v>0</v>
      </c>
      <c r="G695" s="1" cm="1">
        <f t="array" ref="G695">SUMPRODUCT(("SUP_wodH2ccs"=[1]OUT_SyntheticFuels!$C$4:$C$1000)*1,ISNUMBER(SEARCH("wod",[1]OUT_SyntheticFuels!$A$4:$A$1000))*1,("Var_Fin"=[1]OUT_SyntheticFuels!$B$4:$B$1000)*1,[1]OUT_SyntheticFuels!F$4:F$1000)</f>
        <v>0</v>
      </c>
      <c r="H695" s="1" cm="1">
        <f t="array" ref="H695">SUMPRODUCT(("SUP_wodH2ccs"=[1]OUT_SyntheticFuels!$C$4:$C$1000)*1,ISNUMBER(SEARCH("wod",[1]OUT_SyntheticFuels!$A$4:$A$1000))*1,("Var_Fin"=[1]OUT_SyntheticFuels!$B$4:$B$1000)*1,[1]OUT_SyntheticFuels!G$4:G$1000)</f>
        <v>0</v>
      </c>
      <c r="I695" s="1" cm="1">
        <f t="array" ref="I695">SUMPRODUCT(("SUP_wodH2ccs"=[1]OUT_SyntheticFuels!$C$4:$C$1000)*1,ISNUMBER(SEARCH("wod",[1]OUT_SyntheticFuels!$A$4:$A$1000))*1,("Var_Fin"=[1]OUT_SyntheticFuels!$B$4:$B$1000)*1,[1]OUT_SyntheticFuels!H$4:H$1000)</f>
        <v>0</v>
      </c>
      <c r="J695" s="1" cm="1">
        <f t="array" ref="J695">SUMPRODUCT(("SUP_wodH2ccs"=[1]OUT_SyntheticFuels!$C$4:$C$1000)*1,ISNUMBER(SEARCH("wod",[1]OUT_SyntheticFuels!$A$4:$A$1000))*1,("Var_Fin"=[1]OUT_SyntheticFuels!$B$4:$B$1000)*1,[1]OUT_SyntheticFuels!I$4:I$1000)</f>
        <v>0</v>
      </c>
      <c r="K695" s="1" cm="1">
        <f t="array" ref="K695">SUMPRODUCT(("SUP_wodH2ccs"=[1]OUT_SyntheticFuels!$C$4:$C$1000)*1,ISNUMBER(SEARCH("wod",[1]OUT_SyntheticFuels!$A$4:$A$1000))*1,("Var_Fin"=[1]OUT_SyntheticFuels!$B$4:$B$1000)*1,[1]OUT_SyntheticFuels!J$4:J$1000)</f>
        <v>9.6359780731028479</v>
      </c>
    </row>
    <row r="696" spans="2:11" x14ac:dyDescent="0.35">
      <c r="B696" s="9" t="str">
        <f t="shared" si="440"/>
        <v>SPS2</v>
      </c>
      <c r="C696" s="9" t="s">
        <v>7</v>
      </c>
      <c r="D696" s="2" t="s">
        <v>408</v>
      </c>
      <c r="E696" s="9" t="s">
        <v>240</v>
      </c>
      <c r="F696" s="4" t="s">
        <v>292</v>
      </c>
      <c r="G696" s="4" t="s">
        <v>292</v>
      </c>
      <c r="H696" s="4" t="s">
        <v>292</v>
      </c>
      <c r="I696" s="4" t="s">
        <v>292</v>
      </c>
      <c r="J696" s="4" t="s">
        <v>292</v>
      </c>
      <c r="K696" s="4" t="s">
        <v>292</v>
      </c>
    </row>
    <row r="697" spans="2:11" x14ac:dyDescent="0.35">
      <c r="B697" t="str">
        <f t="shared" si="440"/>
        <v>SPS2</v>
      </c>
      <c r="C697" t="str">
        <f t="shared" ref="C697:C703" si="442">C696</f>
        <v>CH</v>
      </c>
      <c r="D697" t="s">
        <v>409</v>
      </c>
      <c r="E697" s="5" t="s">
        <v>240</v>
      </c>
      <c r="F697" s="4">
        <f>IFERROR(F662/F679,"-")</f>
        <v>0.68500000000000039</v>
      </c>
      <c r="G697" s="4">
        <f t="shared" ref="G697:K697" si="443">IFERROR(G662/G679,"-")</f>
        <v>0.69400000000000039</v>
      </c>
      <c r="H697" s="4">
        <f t="shared" si="443"/>
        <v>0.70750000000000068</v>
      </c>
      <c r="I697" s="4">
        <f t="shared" si="443"/>
        <v>0.73000000000000043</v>
      </c>
      <c r="J697" s="4">
        <f t="shared" si="443"/>
        <v>0.77500000000000013</v>
      </c>
      <c r="K697" s="4">
        <f t="shared" si="443"/>
        <v>0.82000000000000062</v>
      </c>
    </row>
    <row r="698" spans="2:11" x14ac:dyDescent="0.35">
      <c r="B698" t="str">
        <f t="shared" si="440"/>
        <v>SPS2</v>
      </c>
      <c r="C698" t="str">
        <f t="shared" si="442"/>
        <v>CH</v>
      </c>
      <c r="D698" t="s">
        <v>410</v>
      </c>
      <c r="E698" s="5" t="s">
        <v>240</v>
      </c>
      <c r="F698" s="4" t="str">
        <f>IFERROR(F663/F680,"-")</f>
        <v>-</v>
      </c>
      <c r="G698" s="4" t="str">
        <f t="shared" ref="G698:K698" si="444">IFERROR(G663/G680,"-")</f>
        <v>-</v>
      </c>
      <c r="H698" s="4" t="str">
        <f t="shared" si="444"/>
        <v>-</v>
      </c>
      <c r="I698" s="4">
        <f t="shared" si="444"/>
        <v>0.73000000000000009</v>
      </c>
      <c r="J698" s="4">
        <f t="shared" si="444"/>
        <v>0.77500000000000036</v>
      </c>
      <c r="K698" s="4">
        <f t="shared" si="444"/>
        <v>0.82000000000000028</v>
      </c>
    </row>
    <row r="699" spans="2:11" x14ac:dyDescent="0.35">
      <c r="B699" t="str">
        <f t="shared" si="440"/>
        <v>SPS2</v>
      </c>
      <c r="C699" t="str">
        <f t="shared" si="442"/>
        <v>CH</v>
      </c>
      <c r="D699" t="s">
        <v>411</v>
      </c>
      <c r="E699" s="5" t="s">
        <v>240</v>
      </c>
      <c r="F699" s="4" t="str">
        <f>IFERROR(F664/SUM(F681,F683),"-")</f>
        <v>-</v>
      </c>
      <c r="G699" s="4" t="str">
        <f t="shared" ref="G699:K699" si="445">IFERROR(G664/SUM(G681,G683),"-")</f>
        <v>-</v>
      </c>
      <c r="H699" s="4" t="str">
        <f t="shared" si="445"/>
        <v>-</v>
      </c>
      <c r="I699" s="4" t="str">
        <f t="shared" si="445"/>
        <v>-</v>
      </c>
      <c r="J699" s="4">
        <f t="shared" si="445"/>
        <v>0.86999999999999988</v>
      </c>
      <c r="K699" s="4">
        <f t="shared" si="445"/>
        <v>0.89999999999999991</v>
      </c>
    </row>
    <row r="700" spans="2:11" x14ac:dyDescent="0.35">
      <c r="B700" t="str">
        <f t="shared" si="440"/>
        <v>SPS2</v>
      </c>
      <c r="C700" t="str">
        <f t="shared" si="442"/>
        <v>CH</v>
      </c>
      <c r="D700" t="s">
        <v>412</v>
      </c>
      <c r="E700" s="5" t="s">
        <v>240</v>
      </c>
      <c r="F700" s="4" t="str">
        <f>IFERROR(F666/F685,"-")</f>
        <v>-</v>
      </c>
      <c r="G700" s="4" t="str">
        <f t="shared" ref="G700:K701" si="446">IFERROR(G666/G685,"-")</f>
        <v>-</v>
      </c>
      <c r="H700" s="4" t="str">
        <f t="shared" si="446"/>
        <v>-</v>
      </c>
      <c r="I700" s="4" t="str">
        <f t="shared" si="446"/>
        <v>-</v>
      </c>
      <c r="J700" s="4" t="str">
        <f t="shared" si="446"/>
        <v>-</v>
      </c>
      <c r="K700" s="4">
        <f t="shared" si="446"/>
        <v>0.75999999999999934</v>
      </c>
    </row>
    <row r="701" spans="2:11" x14ac:dyDescent="0.35">
      <c r="B701" t="str">
        <f t="shared" si="440"/>
        <v>SPS2</v>
      </c>
      <c r="C701" t="str">
        <f t="shared" si="442"/>
        <v>CH</v>
      </c>
      <c r="D701" t="s">
        <v>413</v>
      </c>
      <c r="E701" s="5" t="s">
        <v>240</v>
      </c>
      <c r="F701" s="4" t="str">
        <f>IFERROR(F667/F686,"-")</f>
        <v>-</v>
      </c>
      <c r="G701" s="4" t="str">
        <f t="shared" si="446"/>
        <v>-</v>
      </c>
      <c r="H701" s="4" t="str">
        <f t="shared" si="446"/>
        <v>-</v>
      </c>
      <c r="I701" s="4" t="str">
        <f t="shared" si="446"/>
        <v>-</v>
      </c>
      <c r="J701" s="4" t="str">
        <f t="shared" si="446"/>
        <v>-</v>
      </c>
      <c r="K701" s="4">
        <f t="shared" si="446"/>
        <v>0.69000000000000039</v>
      </c>
    </row>
    <row r="702" spans="2:11" x14ac:dyDescent="0.35">
      <c r="B702" t="str">
        <f t="shared" si="440"/>
        <v>SPS2</v>
      </c>
      <c r="C702" t="str">
        <f>C701</f>
        <v>CH</v>
      </c>
      <c r="D702" t="s">
        <v>414</v>
      </c>
      <c r="E702" s="5" t="s">
        <v>240</v>
      </c>
      <c r="F702" s="4" t="str">
        <f>IFERROR(F675/F694,"-")</f>
        <v>-</v>
      </c>
      <c r="G702" s="4" t="str">
        <f t="shared" ref="G702:K703" si="447">IFERROR(G675/G694,"-")</f>
        <v>-</v>
      </c>
      <c r="H702" s="4" t="str">
        <f t="shared" si="447"/>
        <v>-</v>
      </c>
      <c r="I702" s="4">
        <f t="shared" si="447"/>
        <v>0.5999999999999992</v>
      </c>
      <c r="J702" s="4">
        <f t="shared" si="447"/>
        <v>0.59999999999999987</v>
      </c>
      <c r="K702" s="4">
        <f t="shared" si="447"/>
        <v>0.59999999999999987</v>
      </c>
    </row>
    <row r="703" spans="2:11" x14ac:dyDescent="0.35">
      <c r="B703" t="str">
        <f t="shared" si="440"/>
        <v>SPS2</v>
      </c>
      <c r="C703" t="str">
        <f t="shared" si="442"/>
        <v>CH</v>
      </c>
      <c r="D703" t="s">
        <v>415</v>
      </c>
      <c r="E703" s="5" t="s">
        <v>240</v>
      </c>
      <c r="F703" s="4" t="str">
        <f>IFERROR(F676/F695,"-")</f>
        <v>-</v>
      </c>
      <c r="G703" s="4" t="str">
        <f t="shared" si="447"/>
        <v>-</v>
      </c>
      <c r="H703" s="4" t="str">
        <f t="shared" si="447"/>
        <v>-</v>
      </c>
      <c r="I703" s="4" t="str">
        <f t="shared" si="447"/>
        <v>-</v>
      </c>
      <c r="J703" s="4" t="str">
        <f t="shared" si="447"/>
        <v>-</v>
      </c>
      <c r="K703" s="4">
        <f t="shared" si="447"/>
        <v>0.57999999999999985</v>
      </c>
    </row>
    <row r="704" spans="2:11" x14ac:dyDescent="0.35">
      <c r="B704" s="9" t="str">
        <f t="shared" si="440"/>
        <v>SPS2</v>
      </c>
      <c r="C704" s="9" t="s">
        <v>7</v>
      </c>
      <c r="D704" s="2" t="s">
        <v>424</v>
      </c>
      <c r="E704" s="9" t="s">
        <v>8</v>
      </c>
      <c r="F704" s="1">
        <f>[1]Other_transformation!B$39</f>
        <v>1.1764865211904751</v>
      </c>
      <c r="G704" s="1">
        <f>[1]Other_transformation!C$39</f>
        <v>3.4636763576010816</v>
      </c>
      <c r="H704" s="1">
        <f>[1]Other_transformation!D$39</f>
        <v>3.4636812236548553</v>
      </c>
      <c r="I704" s="1">
        <f>[1]Other_transformation!E$39</f>
        <v>5.0433954856691292</v>
      </c>
      <c r="J704" s="1">
        <f>[1]Other_transformation!F$39</f>
        <v>7.9585916077884979</v>
      </c>
      <c r="K704" s="1">
        <f>[1]Other_transformation!G$39</f>
        <v>9.2510986308907093</v>
      </c>
    </row>
    <row r="705" spans="2:11" x14ac:dyDescent="0.35">
      <c r="B705" s="9" t="str">
        <f t="shared" si="440"/>
        <v>SPS2</v>
      </c>
      <c r="C705" s="9" t="s">
        <v>7</v>
      </c>
      <c r="D705" s="2" t="s">
        <v>425</v>
      </c>
      <c r="E705" s="9" t="s">
        <v>8</v>
      </c>
      <c r="F705" s="1">
        <f>[1]Other_transformation!B$38</f>
        <v>1.2890876172062371</v>
      </c>
      <c r="G705" s="1">
        <f>[1]Other_transformation!C$38</f>
        <v>3.7951835589884095</v>
      </c>
      <c r="H705" s="1">
        <f>[1]Other_transformation!D$38</f>
        <v>3.7951888907704099</v>
      </c>
      <c r="I705" s="1">
        <f>[1]Other_transformation!E$38</f>
        <v>5.5260970288645863</v>
      </c>
      <c r="J705" s="1">
        <f>[1]Other_transformation!F$38</f>
        <v>8.7203055090000809</v>
      </c>
      <c r="K705" s="1">
        <f>[1]Other_transformation!G$38</f>
        <v>10.136517908056893</v>
      </c>
    </row>
    <row r="706" spans="2:11" x14ac:dyDescent="0.35">
      <c r="B706" s="9" t="str">
        <f t="shared" si="440"/>
        <v>SPS2</v>
      </c>
      <c r="C706" s="9" t="s">
        <v>7</v>
      </c>
      <c r="D706" s="2" t="s">
        <v>426</v>
      </c>
      <c r="E706" s="9" t="s">
        <v>8</v>
      </c>
      <c r="F706" s="14">
        <f t="shared" ref="F706:K706" si="448">F704/F705</f>
        <v>0.91265054871925955</v>
      </c>
      <c r="G706" s="14">
        <f t="shared" si="448"/>
        <v>0.91265054871925888</v>
      </c>
      <c r="H706" s="14">
        <f t="shared" si="448"/>
        <v>0.91265054871926032</v>
      </c>
      <c r="I706" s="14">
        <f t="shared" si="448"/>
        <v>0.91265054871925855</v>
      </c>
      <c r="J706" s="14">
        <f t="shared" si="448"/>
        <v>0.91265054871925866</v>
      </c>
      <c r="K706" s="14">
        <f t="shared" si="448"/>
        <v>0.91265054871925799</v>
      </c>
    </row>
    <row r="707" spans="2:11" x14ac:dyDescent="0.35">
      <c r="B707" s="9" t="str">
        <f t="shared" si="440"/>
        <v>SPS2</v>
      </c>
      <c r="C707" s="9" t="s">
        <v>6</v>
      </c>
      <c r="D707" s="2" t="s">
        <v>474</v>
      </c>
      <c r="E707" s="9" t="s">
        <v>8</v>
      </c>
      <c r="F707" s="17" cm="1">
        <f t="array" ref="F707">SUMPRODUCT(("CT_CWODPLT"=[1]OUT_SyntheticFuels!$C$4:$C$1000)*1,("Var_Fout"=[1]OUT_SyntheticFuels!$B$4:$B$1000)*1,[1]OUT_SyntheticFuels!E$4:E$1000)</f>
        <v>5.9797956658969671</v>
      </c>
      <c r="G707" s="17" cm="1">
        <f t="array" ref="G707">SUMPRODUCT(("CT_CWODPLT"=[1]OUT_SyntheticFuels!$C$4:$C$1000)*1,("Var_Fout"=[1]OUT_SyntheticFuels!$B$4:$B$1000)*1,[1]OUT_SyntheticFuels!F$4:F$1000)</f>
        <v>6.969730592307867</v>
      </c>
      <c r="H707" s="17" cm="1">
        <f t="array" ref="H707">SUMPRODUCT(("CT_CWODPLT"=[1]OUT_SyntheticFuels!$C$4:$C$1000)*1,("Var_Fout"=[1]OUT_SyntheticFuels!$B$4:$B$1000)*1,[1]OUT_SyntheticFuels!G$4:G$1000)</f>
        <v>1.9576353039514438</v>
      </c>
      <c r="I707" s="17" cm="1">
        <f t="array" ref="I707">SUMPRODUCT(("CT_CWODPLT"=[1]OUT_SyntheticFuels!$C$4:$C$1000)*1,("Var_Fout"=[1]OUT_SyntheticFuels!$B$4:$B$1000)*1,[1]OUT_SyntheticFuels!H$4:H$1000)</f>
        <v>2.2555333583053634</v>
      </c>
      <c r="J707" s="17" cm="1">
        <f t="array" ref="J707">SUMPRODUCT(("CT_CWODPLT"=[1]OUT_SyntheticFuels!$C$4:$C$1000)*1,("Var_Fout"=[1]OUT_SyntheticFuels!$B$4:$B$1000)*1,[1]OUT_SyntheticFuels!I$4:I$1000)</f>
        <v>2.6867599549310879</v>
      </c>
      <c r="K707" s="17" cm="1">
        <f t="array" ref="K707">SUMPRODUCT(("CT_CWODPLT"=[1]OUT_SyntheticFuels!$C$4:$C$1000)*1,("Var_Fout"=[1]OUT_SyntheticFuels!$B$4:$B$1000)*1,[1]OUT_SyntheticFuels!J$4:J$1000)</f>
        <v>2.5702712228184885</v>
      </c>
    </row>
    <row r="708" spans="2:11" x14ac:dyDescent="0.35">
      <c r="B708" s="5" t="str">
        <f t="shared" si="440"/>
        <v>SPS2</v>
      </c>
      <c r="C708" s="5" t="str">
        <f>C707</f>
        <v>SPS1</v>
      </c>
      <c r="D708" t="s">
        <v>491</v>
      </c>
      <c r="E708" s="5" t="s">
        <v>8</v>
      </c>
      <c r="F708" s="18">
        <f>F707</f>
        <v>5.9797956658969671</v>
      </c>
      <c r="G708" s="18">
        <f t="shared" ref="G708:K708" si="449">G707</f>
        <v>6.969730592307867</v>
      </c>
      <c r="H708" s="18">
        <f t="shared" si="449"/>
        <v>1.9576353039514438</v>
      </c>
      <c r="I708" s="18">
        <f t="shared" si="449"/>
        <v>2.2555333583053634</v>
      </c>
      <c r="J708" s="18">
        <f t="shared" si="449"/>
        <v>2.6867599549310879</v>
      </c>
      <c r="K708" s="18">
        <f t="shared" si="449"/>
        <v>2.5702712228184885</v>
      </c>
    </row>
    <row r="709" spans="2:11" x14ac:dyDescent="0.35">
      <c r="B709" s="9" t="str">
        <f t="shared" si="440"/>
        <v>SPS2</v>
      </c>
      <c r="C709" s="9" t="s">
        <v>6</v>
      </c>
      <c r="D709" s="2" t="s">
        <v>475</v>
      </c>
      <c r="E709" s="9" t="s">
        <v>8</v>
      </c>
      <c r="F709" s="17" cm="1">
        <f t="array" ref="F709">SUMPRODUCT(("CT_CWODPLT"=[1]OUT_SyntheticFuels!$C$4:$C$1000)*1,("Var_Fin"=[1]OUT_SyntheticFuels!$B$4:$B$1000)*1,[1]OUT_SyntheticFuels!E$4:E$1000)</f>
        <v>7.1188043641630614</v>
      </c>
      <c r="G709" s="17" cm="1">
        <f t="array" ref="G709">SUMPRODUCT(("CT_CWODPLT"=[1]OUT_SyntheticFuels!$C$4:$C$1000)*1,("Var_Fin"=[1]OUT_SyntheticFuels!$B$4:$B$1000)*1,[1]OUT_SyntheticFuels!F$4:F$1000)</f>
        <v>8.297298324176035</v>
      </c>
      <c r="H709" s="17" cm="1">
        <f t="array" ref="H709">SUMPRODUCT(("CT_CWODPLT"=[1]OUT_SyntheticFuels!$C$4:$C$1000)*1,("Var_Fin"=[1]OUT_SyntheticFuels!$B$4:$B$1000)*1,[1]OUT_SyntheticFuels!G$4:G$1000)</f>
        <v>2.3305182189898161</v>
      </c>
      <c r="I709" s="17" cm="1">
        <f t="array" ref="I709">SUMPRODUCT(("CT_CWODPLT"=[1]OUT_SyntheticFuels!$C$4:$C$1000)*1,("Var_Fin"=[1]OUT_SyntheticFuels!$B$4:$B$1000)*1,[1]OUT_SyntheticFuels!H$4:H$1000)</f>
        <v>2.6851587598873379</v>
      </c>
      <c r="J709" s="17" cm="1">
        <f t="array" ref="J709">SUMPRODUCT(("CT_CWODPLT"=[1]OUT_SyntheticFuels!$C$4:$C$1000)*1,("Var_Fin"=[1]OUT_SyntheticFuels!$B$4:$B$1000)*1,[1]OUT_SyntheticFuels!I$4:I$1000)</f>
        <v>3.1985237558703412</v>
      </c>
      <c r="K709" s="17" cm="1">
        <f t="array" ref="K709">SUMPRODUCT(("CT_CWODPLT"=[1]OUT_SyntheticFuels!$C$4:$C$1000)*1,("Var_Fin"=[1]OUT_SyntheticFuels!$B$4:$B$1000)*1,[1]OUT_SyntheticFuels!J$4:J$1000)</f>
        <v>3.0598466938315365</v>
      </c>
    </row>
    <row r="710" spans="2:11" x14ac:dyDescent="0.35">
      <c r="B710" s="5" t="str">
        <f t="shared" si="440"/>
        <v>SPS2</v>
      </c>
      <c r="C710" s="5" t="str">
        <f>C709</f>
        <v>SPS1</v>
      </c>
      <c r="D710" s="5" t="s">
        <v>490</v>
      </c>
      <c r="E710" s="5" t="str">
        <f>E709</f>
        <v>PJ/yr.</v>
      </c>
      <c r="F710" s="18">
        <f t="shared" ref="F710:K710" si="450">F709</f>
        <v>7.1188043641630614</v>
      </c>
      <c r="G710" s="18">
        <f t="shared" si="450"/>
        <v>8.297298324176035</v>
      </c>
      <c r="H710" s="18">
        <f t="shared" si="450"/>
        <v>2.3305182189898161</v>
      </c>
      <c r="I710" s="18">
        <f t="shared" si="450"/>
        <v>2.6851587598873379</v>
      </c>
      <c r="J710" s="18">
        <f t="shared" si="450"/>
        <v>3.1985237558703412</v>
      </c>
      <c r="K710" s="18">
        <f t="shared" si="450"/>
        <v>3.0598466938315365</v>
      </c>
    </row>
    <row r="711" spans="2:11" x14ac:dyDescent="0.35">
      <c r="B711" s="9" t="str">
        <f t="shared" si="440"/>
        <v>SPS2</v>
      </c>
      <c r="C711" s="9" t="s">
        <v>6</v>
      </c>
      <c r="D711" s="2" t="s">
        <v>476</v>
      </c>
      <c r="E711" s="9" t="s">
        <v>240</v>
      </c>
      <c r="F711" s="14">
        <f t="shared" ref="F711:K711" si="451">IFERROR(F707/F709,"-")</f>
        <v>0.83999999999999941</v>
      </c>
      <c r="G711" s="14">
        <f t="shared" si="451"/>
        <v>0.83999999999999975</v>
      </c>
      <c r="H711" s="14">
        <f t="shared" si="451"/>
        <v>0.83999999999999919</v>
      </c>
      <c r="I711" s="14">
        <f t="shared" si="451"/>
        <v>0.83999999999999986</v>
      </c>
      <c r="J711" s="14">
        <f t="shared" si="451"/>
        <v>0.84000000000000041</v>
      </c>
      <c r="K711" s="14">
        <f t="shared" si="451"/>
        <v>0.8399999999999993</v>
      </c>
    </row>
    <row r="712" spans="2:11" x14ac:dyDescent="0.35">
      <c r="B712" s="9" t="str">
        <f t="shared" si="440"/>
        <v>SPS2</v>
      </c>
      <c r="C712" s="9" t="str">
        <f>C706</f>
        <v>CH</v>
      </c>
      <c r="D712" s="2" t="s">
        <v>431</v>
      </c>
      <c r="E712" s="9" t="s">
        <v>8</v>
      </c>
      <c r="F712" s="17">
        <f>F713+F715</f>
        <v>0</v>
      </c>
      <c r="G712" s="17">
        <f t="shared" ref="G712:K712" si="452">G713+G715</f>
        <v>0</v>
      </c>
      <c r="H712" s="17">
        <f t="shared" si="452"/>
        <v>0</v>
      </c>
      <c r="I712" s="17">
        <f t="shared" si="452"/>
        <v>0</v>
      </c>
      <c r="J712" s="17">
        <f t="shared" si="452"/>
        <v>11.370915397970288</v>
      </c>
      <c r="K712" s="17">
        <f t="shared" si="452"/>
        <v>27.204111960366411</v>
      </c>
    </row>
    <row r="713" spans="2:11" x14ac:dyDescent="0.35">
      <c r="B713" s="5" t="str">
        <f t="shared" si="440"/>
        <v>SPS2</v>
      </c>
      <c r="C713" s="5" t="str">
        <f>C706</f>
        <v>CH</v>
      </c>
      <c r="D713" t="s">
        <v>927</v>
      </c>
      <c r="E713" s="5" t="s">
        <v>8</v>
      </c>
      <c r="F713" s="18">
        <f>F714</f>
        <v>0</v>
      </c>
      <c r="G713" s="18">
        <f t="shared" ref="G713:K713" si="453">G714</f>
        <v>0</v>
      </c>
      <c r="H713" s="18">
        <f t="shared" si="453"/>
        <v>0</v>
      </c>
      <c r="I713" s="18">
        <f t="shared" si="453"/>
        <v>0</v>
      </c>
      <c r="J713" s="18">
        <f t="shared" si="453"/>
        <v>10.643622770467598</v>
      </c>
      <c r="K713" s="18">
        <f t="shared" si="453"/>
        <v>17.957977754978309</v>
      </c>
    </row>
    <row r="714" spans="2:11" x14ac:dyDescent="0.35">
      <c r="B714" s="5" t="str">
        <f t="shared" si="440"/>
        <v>SPS2</v>
      </c>
      <c r="C714" s="5" t="str">
        <f t="shared" ref="C714:C716" si="454">C712</f>
        <v>CH</v>
      </c>
      <c r="D714" t="s">
        <v>427</v>
      </c>
      <c r="E714" s="5" t="s">
        <v>8</v>
      </c>
      <c r="F714" s="18" cm="1">
        <f t="array" ref="F714">SUMPRODUCT(("SUP_H2NGA"=[1]OUT_SyntheticFuels!$C$4:$C$1000)*1,("NGA"=[1]OUT_SyntheticFuels!$A$4:$A$1000)*1,("Var_Fout"=[1]OUT_SyntheticFuels!$B$4:$B$1000)*1,[1]OUT_SyntheticFuels!E$4:E$1000)</f>
        <v>0</v>
      </c>
      <c r="G714" s="18" cm="1">
        <f t="array" ref="G714">SUMPRODUCT(("SUP_H2NGA"=[1]OUT_SyntheticFuels!$C$4:$C$1000)*1,("NGA"=[1]OUT_SyntheticFuels!$A$4:$A$1000)*1,("Var_Fout"=[1]OUT_SyntheticFuels!$B$4:$B$1000)*1,[1]OUT_SyntheticFuels!F$4:F$1000)</f>
        <v>0</v>
      </c>
      <c r="H714" s="18" cm="1">
        <f t="array" ref="H714">SUMPRODUCT(("SUP_H2NGA"=[1]OUT_SyntheticFuels!$C$4:$C$1000)*1,("NGA"=[1]OUT_SyntheticFuels!$A$4:$A$1000)*1,("Var_Fout"=[1]OUT_SyntheticFuels!$B$4:$B$1000)*1,[1]OUT_SyntheticFuels!G$4:G$1000)</f>
        <v>0</v>
      </c>
      <c r="I714" s="18" cm="1">
        <f t="array" ref="I714">SUMPRODUCT(("SUP_H2NGA"=[1]OUT_SyntheticFuels!$C$4:$C$1000)*1,("NGA"=[1]OUT_SyntheticFuels!$A$4:$A$1000)*1,("Var_Fout"=[1]OUT_SyntheticFuels!$B$4:$B$1000)*1,[1]OUT_SyntheticFuels!H$4:H$1000)</f>
        <v>0</v>
      </c>
      <c r="J714" s="18" cm="1">
        <f t="array" ref="J714">SUMPRODUCT(("SUP_H2NGA"=[1]OUT_SyntheticFuels!$C$4:$C$1000)*1,("NGA"=[1]OUT_SyntheticFuels!$A$4:$A$1000)*1,("Var_Fout"=[1]OUT_SyntheticFuels!$B$4:$B$1000)*1,[1]OUT_SyntheticFuels!I$4:I$1000)</f>
        <v>10.643622770467598</v>
      </c>
      <c r="K714" s="18" cm="1">
        <f t="array" ref="K714">SUMPRODUCT(("SUP_H2NGA"=[1]OUT_SyntheticFuels!$C$4:$C$1000)*1,("NGA"=[1]OUT_SyntheticFuels!$A$4:$A$1000)*1,("Var_Fout"=[1]OUT_SyntheticFuels!$B$4:$B$1000)*1,[1]OUT_SyntheticFuels!J$4:J$1000)</f>
        <v>17.957977754978309</v>
      </c>
    </row>
    <row r="715" spans="2:11" x14ac:dyDescent="0.35">
      <c r="B715" s="5" t="str">
        <f t="shared" si="440"/>
        <v>SPS2</v>
      </c>
      <c r="C715" s="5" t="str">
        <f t="shared" si="454"/>
        <v>CH</v>
      </c>
      <c r="D715" t="s">
        <v>928</v>
      </c>
      <c r="E715" s="5" t="s">
        <v>8</v>
      </c>
      <c r="F715" s="18">
        <f>SUM(F716:F718)</f>
        <v>0</v>
      </c>
      <c r="G715" s="18">
        <f t="shared" ref="G715:K715" si="455">SUM(G716:G718)</f>
        <v>0</v>
      </c>
      <c r="H715" s="18">
        <f t="shared" si="455"/>
        <v>0</v>
      </c>
      <c r="I715" s="18">
        <f t="shared" si="455"/>
        <v>0</v>
      </c>
      <c r="J715" s="18">
        <f t="shared" si="455"/>
        <v>0.72729262750268997</v>
      </c>
      <c r="K715" s="18">
        <f t="shared" si="455"/>
        <v>9.2461342053881026</v>
      </c>
    </row>
    <row r="716" spans="2:11" x14ac:dyDescent="0.35">
      <c r="B716" s="5" t="str">
        <f t="shared" si="440"/>
        <v>SPS2</v>
      </c>
      <c r="C716" s="5" t="str">
        <f t="shared" si="454"/>
        <v>CH</v>
      </c>
      <c r="D716" t="s">
        <v>428</v>
      </c>
      <c r="E716" s="5" t="s">
        <v>8</v>
      </c>
      <c r="F716" s="18" cm="1">
        <f t="array" ref="F716">SUMPRODUCT(("SUP_H2DSL"=[1]OUT_SyntheticFuels!$C$4:$C$1000)*1,("DSL"=[1]OUT_SyntheticFuels!$A$4:$A$1000)*1,("Var_Fout"=[1]OUT_SyntheticFuels!$B$4:$B$1000)*1,[1]OUT_SyntheticFuels!E$4:E$1000)</f>
        <v>0</v>
      </c>
      <c r="G716" s="18" cm="1">
        <f t="array" ref="G716">SUMPRODUCT(("SUP_H2DSL"=[1]OUT_SyntheticFuels!$C$4:$C$1000)*1,("DSL"=[1]OUT_SyntheticFuels!$A$4:$A$1000)*1,("Var_Fout"=[1]OUT_SyntheticFuels!$B$4:$B$1000)*1,[1]OUT_SyntheticFuels!F$4:F$1000)</f>
        <v>0</v>
      </c>
      <c r="H716" s="18" cm="1">
        <f t="array" ref="H716">SUMPRODUCT(("SUP_H2DSL"=[1]OUT_SyntheticFuels!$C$4:$C$1000)*1,("DSL"=[1]OUT_SyntheticFuels!$A$4:$A$1000)*1,("Var_Fout"=[1]OUT_SyntheticFuels!$B$4:$B$1000)*1,[1]OUT_SyntheticFuels!G$4:G$1000)</f>
        <v>0</v>
      </c>
      <c r="I716" s="18" cm="1">
        <f t="array" ref="I716">SUMPRODUCT(("SUP_H2DSL"=[1]OUT_SyntheticFuels!$C$4:$C$1000)*1,("DSL"=[1]OUT_SyntheticFuels!$A$4:$A$1000)*1,("Var_Fout"=[1]OUT_SyntheticFuels!$B$4:$B$1000)*1,[1]OUT_SyntheticFuels!H$4:H$1000)</f>
        <v>0</v>
      </c>
      <c r="J716" s="18" cm="1">
        <f t="array" ref="J716">SUMPRODUCT(("SUP_H2DSL"=[1]OUT_SyntheticFuels!$C$4:$C$1000)*1,("DSL"=[1]OUT_SyntheticFuels!$A$4:$A$1000)*1,("Var_Fout"=[1]OUT_SyntheticFuels!$B$4:$B$1000)*1,[1]OUT_SyntheticFuels!I$4:I$1000)</f>
        <v>1.0287754813857757E-2</v>
      </c>
      <c r="K716" s="18" cm="1">
        <f t="array" ref="K716">SUMPRODUCT(("SUP_H2DSL"=[1]OUT_SyntheticFuels!$C$4:$C$1000)*1,("DSL"=[1]OUT_SyntheticFuels!$A$4:$A$1000)*1,("Var_Fout"=[1]OUT_SyntheticFuels!$B$4:$B$1000)*1,[1]OUT_SyntheticFuels!J$4:J$1000)</f>
        <v>8.7145016976395056</v>
      </c>
    </row>
    <row r="717" spans="2:11" x14ac:dyDescent="0.35">
      <c r="B717" s="5" t="str">
        <f t="shared" si="440"/>
        <v>SPS2</v>
      </c>
      <c r="C717" s="5" t="str">
        <f t="shared" ref="C717:C719" si="456">C716</f>
        <v>CH</v>
      </c>
      <c r="D717" t="s">
        <v>429</v>
      </c>
      <c r="E717" s="5" t="s">
        <v>8</v>
      </c>
      <c r="F717" s="18" cm="1">
        <f t="array" ref="F717">SUMPRODUCT(("SUP_H2gsl"=[1]OUT_SyntheticFuels!$C$4:$C$1000)*1,("gsl"=[1]OUT_SyntheticFuels!$A$4:$A$1000)*1,("Var_Fout"=[1]OUT_SyntheticFuels!$B$4:$B$1000)*1,[1]OUT_SyntheticFuels!E$4:E$1000)</f>
        <v>0</v>
      </c>
      <c r="G717" s="18" cm="1">
        <f t="array" ref="G717">SUMPRODUCT(("SUP_H2gsl"=[1]OUT_SyntheticFuels!$C$4:$C$1000)*1,("gsl"=[1]OUT_SyntheticFuels!$A$4:$A$1000)*1,("Var_Fout"=[1]OUT_SyntheticFuels!$B$4:$B$1000)*1,[1]OUT_SyntheticFuels!F$4:F$1000)</f>
        <v>0</v>
      </c>
      <c r="H717" s="18" cm="1">
        <f t="array" ref="H717">SUMPRODUCT(("SUP_H2gsl"=[1]OUT_SyntheticFuels!$C$4:$C$1000)*1,("gsl"=[1]OUT_SyntheticFuels!$A$4:$A$1000)*1,("Var_Fout"=[1]OUT_SyntheticFuels!$B$4:$B$1000)*1,[1]OUT_SyntheticFuels!G$4:G$1000)</f>
        <v>0</v>
      </c>
      <c r="I717" s="18" cm="1">
        <f t="array" ref="I717">SUMPRODUCT(("SUP_H2gsl"=[1]OUT_SyntheticFuels!$C$4:$C$1000)*1,("gsl"=[1]OUT_SyntheticFuels!$A$4:$A$1000)*1,("Var_Fout"=[1]OUT_SyntheticFuels!$B$4:$B$1000)*1,[1]OUT_SyntheticFuels!H$4:H$1000)</f>
        <v>0</v>
      </c>
      <c r="J717" s="18" cm="1">
        <f t="array" ref="J717">SUMPRODUCT(("SUP_H2gsl"=[1]OUT_SyntheticFuels!$C$4:$C$1000)*1,("gsl"=[1]OUT_SyntheticFuels!$A$4:$A$1000)*1,("Var_Fout"=[1]OUT_SyntheticFuels!$B$4:$B$1000)*1,[1]OUT_SyntheticFuels!I$4:I$1000)</f>
        <v>0.71571187165295869</v>
      </c>
      <c r="K717" s="18" cm="1">
        <f t="array" ref="K717">SUMPRODUCT(("SUP_H2gsl"=[1]OUT_SyntheticFuels!$C$4:$C$1000)*1,("gsl"=[1]OUT_SyntheticFuels!$A$4:$A$1000)*1,("Var_Fout"=[1]OUT_SyntheticFuels!$B$4:$B$1000)*1,[1]OUT_SyntheticFuels!J$4:J$1000)</f>
        <v>0.53163054680908584</v>
      </c>
    </row>
    <row r="718" spans="2:11" x14ac:dyDescent="0.35">
      <c r="B718" s="5" t="str">
        <f t="shared" si="440"/>
        <v>SPS2</v>
      </c>
      <c r="C718" s="5" t="str">
        <f t="shared" si="456"/>
        <v>CH</v>
      </c>
      <c r="D718" t="s">
        <v>430</v>
      </c>
      <c r="E718" s="5" t="s">
        <v>8</v>
      </c>
      <c r="F718" s="18" cm="1">
        <f t="array" ref="F718">SUMPRODUCT(("SUP_H2DSL"=[1]OUT_SyntheticFuels!$C$4:$C$1000)*1,("KER"=[1]OUT_SyntheticFuels!$A$4:$A$1000)*1,("Var_Fout"=[1]OUT_SyntheticFuels!$B$4:$B$1000)*1,[1]OUT_SyntheticFuels!E$4:E$1000)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SUMPRODUCT(("SUP_H2DSL"=[1]OUT_SyntheticFuels!$C$4:$C$1000)*1,("KER"=[1]OUT_SyntheticFuels!$A$4:$A$1000)*1,("Var_Fout"=[1]OUT_SyntheticFuels!$B$4:$B$1000)*1,[1]OUT_SyntheticFuels!F$4:F$1000)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SUMPRODUCT(("SUP_H2DSL"=[1]OUT_SyntheticFuels!$C$4:$C$1000)*1,("KER"=[1]OUT_SyntheticFuels!$A$4:$A$1000)*1,("Var_Fout"=[1]OUT_SyntheticFuels!$B$4:$B$1000)*1,[1]OUT_SyntheticFuels!G$4:G$1000)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SUMPRODUCT(("SUP_H2DSL"=[1]OUT_SyntheticFuels!$C$4:$C$1000)*1,("KER"=[1]OUT_SyntheticFuels!$A$4:$A$1000)*1,("Var_Fout"=[1]OUT_SyntheticFuels!$B$4:$B$1000)*1,[1]OUT_SyntheticFuels!H$4:H$1000)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SUMPRODUCT(("SUP_H2DSL"=[1]OUT_SyntheticFuels!$C$4:$C$1000)*1,("KER"=[1]OUT_SyntheticFuels!$A$4:$A$1000)*1,("Var_Fout"=[1]OUT_SyntheticFuels!$B$4:$B$1000)*1,[1]OUT_SyntheticFuels!I$4:I$1000)</f>
        <v>1.2930010358734752E-3</v>
      </c>
      <c r="K718" s="18" cm="1">
        <f t="array" ref="K718">SUMPRODUCT(("SUP_H2DSL"=[1]OUT_SyntheticFuels!$C$4:$C$1000)*1,("KER"=[1]OUT_SyntheticFuels!$A$4:$A$1000)*1,("Var_Fout"=[1]OUT_SyntheticFuels!$B$4:$B$1000)*1,[1]OUT_SyntheticFuels!J$4:J$1000)</f>
        <v>1.9609395111155861E-6</v>
      </c>
    </row>
    <row r="719" spans="2:11" x14ac:dyDescent="0.35">
      <c r="B719" s="9" t="str">
        <f t="shared" si="440"/>
        <v>SPS2</v>
      </c>
      <c r="C719" s="9" t="str">
        <f t="shared" si="456"/>
        <v>CH</v>
      </c>
      <c r="D719" s="2" t="s">
        <v>434</v>
      </c>
      <c r="E719" s="9" t="s">
        <v>8</v>
      </c>
      <c r="F719" s="17">
        <f>F720</f>
        <v>0</v>
      </c>
      <c r="G719" s="17">
        <f t="shared" ref="G719:K719" si="457">G720</f>
        <v>0</v>
      </c>
      <c r="H719" s="17">
        <f t="shared" si="457"/>
        <v>0</v>
      </c>
      <c r="I719" s="17">
        <f t="shared" si="457"/>
        <v>0</v>
      </c>
      <c r="J719" s="17">
        <f t="shared" si="457"/>
        <v>14.870571274712374</v>
      </c>
      <c r="K719" s="17">
        <f t="shared" si="457"/>
        <v>39.106529027555482</v>
      </c>
    </row>
    <row r="720" spans="2:11" x14ac:dyDescent="0.35">
      <c r="B720" s="5" t="str">
        <f t="shared" si="440"/>
        <v>SPS2</v>
      </c>
      <c r="C720" s="5" t="str">
        <f t="shared" ref="C720:C726" si="458">C719</f>
        <v>CH</v>
      </c>
      <c r="D720" t="s">
        <v>929</v>
      </c>
      <c r="E720" s="5" t="s">
        <v>8</v>
      </c>
      <c r="F720" s="18">
        <f>SUM(F721,F723)</f>
        <v>0</v>
      </c>
      <c r="G720" s="18">
        <f t="shared" ref="G720:K720" si="459">SUM(G721,G723)</f>
        <v>0</v>
      </c>
      <c r="H720" s="18">
        <f t="shared" si="459"/>
        <v>0</v>
      </c>
      <c r="I720" s="18">
        <f t="shared" si="459"/>
        <v>0</v>
      </c>
      <c r="J720" s="18">
        <f t="shared" si="459"/>
        <v>14.870571274712374</v>
      </c>
      <c r="K720" s="18">
        <f t="shared" si="459"/>
        <v>39.106529027555482</v>
      </c>
    </row>
    <row r="721" spans="2:13" x14ac:dyDescent="0.35">
      <c r="B721" s="5" t="str">
        <f t="shared" si="440"/>
        <v>SPS2</v>
      </c>
      <c r="C721" s="5" t="str">
        <f t="shared" si="458"/>
        <v>CH</v>
      </c>
      <c r="D721" t="s">
        <v>930</v>
      </c>
      <c r="E721" s="5" t="s">
        <v>8</v>
      </c>
      <c r="F721" s="18">
        <f>F722</f>
        <v>0</v>
      </c>
      <c r="G721" s="18">
        <f t="shared" ref="G721:K721" si="460">G722</f>
        <v>0</v>
      </c>
      <c r="H721" s="18">
        <f t="shared" si="460"/>
        <v>0</v>
      </c>
      <c r="I721" s="18">
        <f t="shared" si="460"/>
        <v>0</v>
      </c>
      <c r="J721" s="18">
        <f t="shared" si="460"/>
        <v>13.822886714893</v>
      </c>
      <c r="K721" s="18">
        <f t="shared" si="460"/>
        <v>23.322049032439384</v>
      </c>
    </row>
    <row r="722" spans="2:13" x14ac:dyDescent="0.35">
      <c r="B722" s="5" t="str">
        <f t="shared" si="440"/>
        <v>SPS2</v>
      </c>
      <c r="C722" s="5" t="str">
        <f t="shared" si="458"/>
        <v>CH</v>
      </c>
      <c r="D722" t="s">
        <v>433</v>
      </c>
      <c r="E722" s="5" t="s">
        <v>8</v>
      </c>
      <c r="F722" s="10" cm="1">
        <f t="array" ref="F722">SUMPRODUCT(("SUP_H2NGA"=[1]OUT_SyntheticFuels!$C$4:$C$1000)*1,("H2"=[1]OUT_SyntheticFuels!$A$4:$A$1000)*1,("Var_Fin"=[1]OUT_SyntheticFuels!$B$4:$B$1000)*1,[1]OUT_SyntheticFuels!E$4:E$1000)</f>
        <v>0</v>
      </c>
      <c r="G722" s="10" cm="1">
        <f t="array" ref="G722">SUMPRODUCT(("SUP_H2NGA"=[1]OUT_SyntheticFuels!$C$4:$C$1000)*1,("H2"=[1]OUT_SyntheticFuels!$A$4:$A$1000)*1,("Var_Fin"=[1]OUT_SyntheticFuels!$B$4:$B$1000)*1,[1]OUT_SyntheticFuels!F$4:F$1000)</f>
        <v>0</v>
      </c>
      <c r="H722" s="10" cm="1">
        <f t="array" ref="H722">SUMPRODUCT(("SUP_H2NGA"=[1]OUT_SyntheticFuels!$C$4:$C$1000)*1,("H2"=[1]OUT_SyntheticFuels!$A$4:$A$1000)*1,("Var_Fin"=[1]OUT_SyntheticFuels!$B$4:$B$1000)*1,[1]OUT_SyntheticFuels!G$4:G$1000)</f>
        <v>0</v>
      </c>
      <c r="I722" s="10" cm="1">
        <f t="array" ref="I722">SUMPRODUCT(("SUP_H2NGA"=[1]OUT_SyntheticFuels!$C$4:$C$1000)*1,("H2"=[1]OUT_SyntheticFuels!$A$4:$A$1000)*1,("Var_Fin"=[1]OUT_SyntheticFuels!$B$4:$B$1000)*1,[1]OUT_SyntheticFuels!H$4:H$1000)</f>
        <v>0</v>
      </c>
      <c r="J722" s="10" cm="1">
        <f t="array" ref="J722">SUMPRODUCT(("SUP_H2NGA"=[1]OUT_SyntheticFuels!$C$4:$C$1000)*1,("H2"=[1]OUT_SyntheticFuels!$A$4:$A$1000)*1,("Var_Fin"=[1]OUT_SyntheticFuels!$B$4:$B$1000)*1,[1]OUT_SyntheticFuels!I$4:I$1000)</f>
        <v>13.822886714893</v>
      </c>
      <c r="K722" s="10" cm="1">
        <f t="array" ref="K722">SUMPRODUCT(("SUP_H2NGA"=[1]OUT_SyntheticFuels!$C$4:$C$1000)*1,("H2"=[1]OUT_SyntheticFuels!$A$4:$A$1000)*1,("Var_Fin"=[1]OUT_SyntheticFuels!$B$4:$B$1000)*1,[1]OUT_SyntheticFuels!J$4:J$1000)</f>
        <v>23.322049032439384</v>
      </c>
    </row>
    <row r="723" spans="2:13" x14ac:dyDescent="0.35">
      <c r="B723" s="5" t="str">
        <f t="shared" si="440"/>
        <v>SPS2</v>
      </c>
      <c r="C723" s="5" t="str">
        <f t="shared" si="458"/>
        <v>CH</v>
      </c>
      <c r="D723" t="s">
        <v>931</v>
      </c>
      <c r="E723" s="5" t="s">
        <v>8</v>
      </c>
      <c r="F723" s="18">
        <f>SUM(F724:F726)</f>
        <v>0</v>
      </c>
      <c r="G723" s="18">
        <f t="shared" ref="G723:K723" si="461">SUM(G724:G726)</f>
        <v>0</v>
      </c>
      <c r="H723" s="18">
        <f t="shared" si="461"/>
        <v>0</v>
      </c>
      <c r="I723" s="18">
        <f t="shared" si="461"/>
        <v>0</v>
      </c>
      <c r="J723" s="18">
        <f t="shared" si="461"/>
        <v>1.0476845598193731</v>
      </c>
      <c r="K723" s="18">
        <f t="shared" si="461"/>
        <v>15.784479995116101</v>
      </c>
    </row>
    <row r="724" spans="2:13" x14ac:dyDescent="0.35">
      <c r="B724" s="5" t="str">
        <f t="shared" si="440"/>
        <v>SPS2</v>
      </c>
      <c r="C724" s="5" t="str">
        <f t="shared" si="458"/>
        <v>CH</v>
      </c>
      <c r="D724" t="s">
        <v>448</v>
      </c>
      <c r="E724" s="5" t="s">
        <v>8</v>
      </c>
      <c r="F724" s="10" cm="1">
        <f t="array" ref="F724">SUMPRODUCT(("SUP_H2DSL"=[1]OUT_SyntheticFuels!$C$4:$C$1000)*1,("H2"=[1]OUT_SyntheticFuels!$A$4:$A$1000)*1,("Var_Fin"=[1]OUT_SyntheticFuels!$B$4:$B$1000)*1,[1]OUT_SyntheticFuels!E$4:E$1000)*IFERROR(F716/SUM(F716,F718),0)</f>
        <v>0</v>
      </c>
      <c r="G724" s="10" cm="1">
        <f t="array" ref="G724">SUMPRODUCT(("SUP_H2DSL"=[1]OUT_SyntheticFuels!$C$4:$C$1000)*1,("H2"=[1]OUT_SyntheticFuels!$A$4:$A$1000)*1,("Var_Fin"=[1]OUT_SyntheticFuels!$B$4:$B$1000)*1,[1]OUT_SyntheticFuels!F$4:F$1000)*IFERROR(G716/SUM(G716,G718),0)</f>
        <v>0</v>
      </c>
      <c r="H724" s="10" cm="1">
        <f t="array" ref="H724">SUMPRODUCT(("SUP_H2DSL"=[1]OUT_SyntheticFuels!$C$4:$C$1000)*1,("H2"=[1]OUT_SyntheticFuels!$A$4:$A$1000)*1,("Var_Fin"=[1]OUT_SyntheticFuels!$B$4:$B$1000)*1,[1]OUT_SyntheticFuels!G$4:G$1000)*IFERROR(H716/SUM(H716,H718),0)</f>
        <v>0</v>
      </c>
      <c r="I724" s="10" cm="1">
        <f t="array" ref="I724">SUMPRODUCT(("SUP_H2DSL"=[1]OUT_SyntheticFuels!$C$4:$C$1000)*1,("H2"=[1]OUT_SyntheticFuels!$A$4:$A$1000)*1,("Var_Fin"=[1]OUT_SyntheticFuels!$B$4:$B$1000)*1,[1]OUT_SyntheticFuels!H$4:H$1000)*IFERROR(I716/SUM(I716,I718),0)</f>
        <v>0</v>
      </c>
      <c r="J724" s="10" cm="1">
        <f t="array" ref="J724">SUMPRODUCT(("SUP_H2DSL"=[1]OUT_SyntheticFuels!$C$4:$C$1000)*1,("H2"=[1]OUT_SyntheticFuels!$A$4:$A$1000)*1,("Var_Fin"=[1]OUT_SyntheticFuels!$B$4:$B$1000)*1,[1]OUT_SyntheticFuels!I$4:I$1000)*IFERROR(J716/SUM(J716,J718),0)</f>
        <v>2.2421070290586809E-2</v>
      </c>
      <c r="K724" s="10" cm="1">
        <f t="array" ref="K724">SUMPRODUCT(("SUP_H2DSL"=[1]OUT_SyntheticFuels!$C$4:$C$1000)*1,("H2"=[1]OUT_SyntheticFuels!$A$4:$A$1000)*1,("Var_Fin"=[1]OUT_SyntheticFuels!$B$4:$B$1000)*1,[1]OUT_SyntheticFuels!J$4:J$1000)*IFERROR(K716/SUM(K716,K718),0)</f>
        <v>15.025004404458311</v>
      </c>
    </row>
    <row r="725" spans="2:13" x14ac:dyDescent="0.35">
      <c r="B725" s="5" t="str">
        <f t="shared" si="440"/>
        <v>SPS2</v>
      </c>
      <c r="C725" s="5" t="str">
        <f t="shared" si="458"/>
        <v>CH</v>
      </c>
      <c r="D725" t="s">
        <v>449</v>
      </c>
      <c r="E725" s="5" t="s">
        <v>8</v>
      </c>
      <c r="F725" s="10" cm="1">
        <f t="array" ref="F725">SUMPRODUCT(("SUP_H2GSL"=[1]OUT_SyntheticFuels!$C$4:$C$1000)*1,("H2"=[1]OUT_SyntheticFuels!$A$4:$A$1000)*1,("Var_Fin"=[1]OUT_SyntheticFuels!$B$4:$B$1000)*1,[1]OUT_SyntheticFuels!E$4:E$1000)</f>
        <v>0</v>
      </c>
      <c r="G725" s="10" cm="1">
        <f t="array" ref="G725">SUMPRODUCT(("SUP_H2GSL"=[1]OUT_SyntheticFuels!$C$4:$C$1000)*1,("H2"=[1]OUT_SyntheticFuels!$A$4:$A$1000)*1,("Var_Fin"=[1]OUT_SyntheticFuels!$B$4:$B$1000)*1,[1]OUT_SyntheticFuels!F$4:F$1000)</f>
        <v>0</v>
      </c>
      <c r="H725" s="10" cm="1">
        <f t="array" ref="H725">SUMPRODUCT(("SUP_H2GSL"=[1]OUT_SyntheticFuels!$C$4:$C$1000)*1,("H2"=[1]OUT_SyntheticFuels!$A$4:$A$1000)*1,("Var_Fin"=[1]OUT_SyntheticFuels!$B$4:$B$1000)*1,[1]OUT_SyntheticFuels!G$4:G$1000)</f>
        <v>0</v>
      </c>
      <c r="I725" s="10" cm="1">
        <f t="array" ref="I725">SUMPRODUCT(("SUP_H2GSL"=[1]OUT_SyntheticFuels!$C$4:$C$1000)*1,("H2"=[1]OUT_SyntheticFuels!$A$4:$A$1000)*1,("Var_Fin"=[1]OUT_SyntheticFuels!$B$4:$B$1000)*1,[1]OUT_SyntheticFuels!H$4:H$1000)</f>
        <v>0</v>
      </c>
      <c r="J725" s="10" cm="1">
        <f t="array" ref="J725">SUMPRODUCT(("SUP_H2GSL"=[1]OUT_SyntheticFuels!$C$4:$C$1000)*1,("H2"=[1]OUT_SyntheticFuels!$A$4:$A$1000)*1,("Var_Fin"=[1]OUT_SyntheticFuels!$B$4:$B$1000)*1,[1]OUT_SyntheticFuels!I$4:I$1000)</f>
        <v>1.0224455309327991</v>
      </c>
      <c r="K725" s="10" cm="1">
        <f t="array" ref="K725">SUMPRODUCT(("SUP_H2GSL"=[1]OUT_SyntheticFuels!$C$4:$C$1000)*1,("H2"=[1]OUT_SyntheticFuels!$A$4:$A$1000)*1,("Var_Fin"=[1]OUT_SyntheticFuels!$B$4:$B$1000)*1,[1]OUT_SyntheticFuels!J$4:J$1000)</f>
        <v>0.7594722097272667</v>
      </c>
    </row>
    <row r="726" spans="2:13" x14ac:dyDescent="0.35">
      <c r="B726" s="5" t="str">
        <f t="shared" si="440"/>
        <v>SPS2</v>
      </c>
      <c r="C726" s="5" t="str">
        <f t="shared" si="458"/>
        <v>CH</v>
      </c>
      <c r="D726" t="s">
        <v>450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SUMPRODUCT(("SUP_H2DSL"=[1]OUT_SyntheticFuels!$C$4:$C$1000)*1,("H2"=[1]OUT_SyntheticFuels!$A$4:$A$1000)*1,("Var_Fin"=[1]OUT_SyntheticFuels!$B$4:$B$1000)*1,[1]OUT_SyntheticFuels!E$4:E$1000)-F724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SUMPRODUCT(("SUP_H2DSL"=[1]OUT_SyntheticFuels!$C$4:$C$1000)*1,("H2"=[1]OUT_SyntheticFuels!$A$4:$A$1000)*1,("Var_Fin"=[1]OUT_SyntheticFuels!$B$4:$B$1000)*1,[1]OUT_SyntheticFuels!F$4:F$1000)-G724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SUMPRODUCT(("SUP_H2DSL"=[1]OUT_SyntheticFuels!$C$4:$C$1000)*1,("H2"=[1]OUT_SyntheticFuels!$A$4:$A$1000)*1,("Var_Fin"=[1]OUT_SyntheticFuels!$B$4:$B$1000)*1,[1]OUT_SyntheticFuels!G$4:G$1000)-H724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SUMPRODUCT(("SUP_H2DSL"=[1]OUT_SyntheticFuels!$C$4:$C$1000)*1,("H2"=[1]OUT_SyntheticFuels!$A$4:$A$1000)*1,("Var_Fin"=[1]OUT_SyntheticFuels!$B$4:$B$1000)*1,[1]OUT_SyntheticFuels!H$4:H$1000)-I724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SUMPRODUCT(("SUP_H2DSL"=[1]OUT_SyntheticFuels!$C$4:$C$1000)*1,("H2"=[1]OUT_SyntheticFuels!$A$4:$A$1000)*1,("Var_Fin"=[1]OUT_SyntheticFuels!$B$4:$B$1000)*1,[1]OUT_SyntheticFuels!I$4:I$1000)-J724</f>
        <v>2.8179585959873556E-3</v>
      </c>
      <c r="K726" s="10" cm="1">
        <f t="array" ref="K726">SUMPRODUCT(("SUP_H2DSL"=[1]OUT_SyntheticFuels!$C$4:$C$1000)*1,("H2"=[1]OUT_SyntheticFuels!$A$4:$A$1000)*1,("Var_Fin"=[1]OUT_SyntheticFuels!$B$4:$B$1000)*1,[1]OUT_SyntheticFuels!J$4:J$1000)-K724</f>
        <v>3.3809305222121111E-6</v>
      </c>
    </row>
    <row r="727" spans="2:13" x14ac:dyDescent="0.35">
      <c r="B727" s="9" t="str">
        <f t="shared" si="440"/>
        <v>SPS2</v>
      </c>
      <c r="C727" s="9" t="str">
        <f>C726</f>
        <v>CH</v>
      </c>
      <c r="D727" s="2" t="s">
        <v>440</v>
      </c>
      <c r="E727" s="9" t="s">
        <v>240</v>
      </c>
      <c r="F727" s="14" t="s">
        <v>292</v>
      </c>
      <c r="G727" s="14" t="s">
        <v>292</v>
      </c>
      <c r="H727" s="14" t="s">
        <v>292</v>
      </c>
      <c r="I727" s="14" t="s">
        <v>292</v>
      </c>
      <c r="J727" s="14" t="s">
        <v>292</v>
      </c>
      <c r="K727" s="14" t="s">
        <v>292</v>
      </c>
    </row>
    <row r="728" spans="2:13" x14ac:dyDescent="0.35">
      <c r="B728" s="5" t="str">
        <f t="shared" si="440"/>
        <v>SPS2</v>
      </c>
      <c r="C728" s="5" t="str">
        <f t="shared" ref="C728:C733" si="462">C727</f>
        <v>CH</v>
      </c>
      <c r="D728" t="s">
        <v>436</v>
      </c>
      <c r="E728" s="5" t="s">
        <v>240</v>
      </c>
      <c r="F728" s="14" t="str">
        <f>IFERROR(F714/F722,"-")</f>
        <v>-</v>
      </c>
      <c r="G728" s="14" t="str">
        <f t="shared" ref="G728:K728" si="463">IFERROR(G714/G722,"-")</f>
        <v>-</v>
      </c>
      <c r="H728" s="14" t="str">
        <f t="shared" si="463"/>
        <v>-</v>
      </c>
      <c r="I728" s="14" t="str">
        <f t="shared" si="463"/>
        <v>-</v>
      </c>
      <c r="J728" s="14">
        <f t="shared" si="463"/>
        <v>0.76999999999999913</v>
      </c>
      <c r="K728" s="14">
        <f t="shared" si="463"/>
        <v>0.76999999999999924</v>
      </c>
    </row>
    <row r="729" spans="2:13" x14ac:dyDescent="0.35">
      <c r="B729" s="5" t="str">
        <f t="shared" si="440"/>
        <v>SPS2</v>
      </c>
      <c r="C729" s="5" t="str">
        <f t="shared" si="462"/>
        <v>CH</v>
      </c>
      <c r="D729" t="s">
        <v>437</v>
      </c>
      <c r="E729" s="5" t="s">
        <v>240</v>
      </c>
      <c r="F729" s="16" t="str">
        <f>IFERROR(F716/F724,"-")</f>
        <v>-</v>
      </c>
      <c r="G729" s="16" t="str">
        <f t="shared" ref="G729:K729" si="464">IFERROR(G716/G724,"-")</f>
        <v>-</v>
      </c>
      <c r="H729" s="16" t="str">
        <f t="shared" si="464"/>
        <v>-</v>
      </c>
      <c r="I729" s="16" t="str">
        <f t="shared" si="464"/>
        <v>-</v>
      </c>
      <c r="J729" s="16">
        <f t="shared" si="464"/>
        <v>0.45884316317303259</v>
      </c>
      <c r="K729" s="16">
        <f t="shared" si="464"/>
        <v>0.5799999429653202</v>
      </c>
      <c r="L729" s="9"/>
      <c r="M729" s="9"/>
    </row>
    <row r="730" spans="2:13" x14ac:dyDescent="0.35">
      <c r="B730" s="5" t="str">
        <f t="shared" si="440"/>
        <v>SPS2</v>
      </c>
      <c r="C730" s="5" t="str">
        <f t="shared" si="462"/>
        <v>CH</v>
      </c>
      <c r="D730" t="s">
        <v>438</v>
      </c>
      <c r="E730" s="5" t="s">
        <v>240</v>
      </c>
      <c r="F730" s="16" t="str">
        <f>IFERROR(F717/F725,"-")</f>
        <v>-</v>
      </c>
      <c r="G730" s="16" t="str">
        <f t="shared" ref="G730:K730" si="465">IFERROR(G717/G725,"-")</f>
        <v>-</v>
      </c>
      <c r="H730" s="16" t="str">
        <f t="shared" si="465"/>
        <v>-</v>
      </c>
      <c r="I730" s="16" t="str">
        <f t="shared" si="465"/>
        <v>-</v>
      </c>
      <c r="J730" s="16">
        <f t="shared" si="465"/>
        <v>0.69999999999999929</v>
      </c>
      <c r="K730" s="16">
        <f t="shared" si="465"/>
        <v>0.69999999999999885</v>
      </c>
      <c r="L730" s="9"/>
      <c r="M730" s="9"/>
    </row>
    <row r="731" spans="2:13" x14ac:dyDescent="0.35">
      <c r="B731" s="5" t="str">
        <f t="shared" si="440"/>
        <v>SPS2</v>
      </c>
      <c r="C731" s="5" t="str">
        <f t="shared" si="462"/>
        <v>CH</v>
      </c>
      <c r="D731" t="s">
        <v>439</v>
      </c>
      <c r="E731" s="5" t="s">
        <v>240</v>
      </c>
      <c r="F731" s="16" t="str">
        <f>IFERROR(F718/F726,"-")</f>
        <v>-</v>
      </c>
      <c r="G731" s="16" t="str">
        <f t="shared" ref="G731:K731" si="466">IFERROR(G718/G726,"-")</f>
        <v>-</v>
      </c>
      <c r="H731" s="16" t="str">
        <f t="shared" si="466"/>
        <v>-</v>
      </c>
      <c r="I731" s="16" t="str">
        <f t="shared" si="466"/>
        <v>-</v>
      </c>
      <c r="J731" s="16">
        <f t="shared" si="466"/>
        <v>0.45884316317303231</v>
      </c>
      <c r="K731" s="16">
        <f t="shared" si="466"/>
        <v>0.57999994327968674</v>
      </c>
      <c r="L731" s="9"/>
      <c r="M731" s="9"/>
    </row>
    <row r="732" spans="2:13" x14ac:dyDescent="0.35">
      <c r="B732" s="5" t="str">
        <f t="shared" si="440"/>
        <v>SPS2</v>
      </c>
      <c r="C732" s="5" t="str">
        <f t="shared" si="462"/>
        <v>CH</v>
      </c>
      <c r="D732" s="2" t="s">
        <v>444</v>
      </c>
      <c r="E732" s="9" t="s">
        <v>442</v>
      </c>
      <c r="F732" s="17">
        <f>F733</f>
        <v>0</v>
      </c>
      <c r="G732" s="17">
        <f t="shared" ref="G732" si="467">G733</f>
        <v>0</v>
      </c>
      <c r="H732" s="17">
        <f t="shared" ref="H732" si="468">H733</f>
        <v>0</v>
      </c>
      <c r="I732" s="17">
        <f t="shared" ref="I732" si="469">I733</f>
        <v>0</v>
      </c>
      <c r="J732" s="17">
        <f t="shared" ref="J732" si="470">J733</f>
        <v>0.65419287245644531</v>
      </c>
      <c r="K732" s="17">
        <f t="shared" ref="K732" si="471">K733</f>
        <v>1.6908374607233092</v>
      </c>
      <c r="L732" s="9"/>
      <c r="M732" s="9"/>
    </row>
    <row r="733" spans="2:13" x14ac:dyDescent="0.35">
      <c r="B733" s="5" t="str">
        <f t="shared" si="440"/>
        <v>SPS2</v>
      </c>
      <c r="C733" s="5" t="str">
        <f t="shared" si="462"/>
        <v>CH</v>
      </c>
      <c r="D733" t="s">
        <v>443</v>
      </c>
      <c r="E733" s="5" t="s">
        <v>442</v>
      </c>
      <c r="F733" s="18">
        <f>SUM(F737,F739)</f>
        <v>0</v>
      </c>
      <c r="G733" s="18">
        <f t="shared" ref="G733" si="472">SUM(G737,G739)</f>
        <v>0</v>
      </c>
      <c r="H733" s="18">
        <f t="shared" ref="H733" si="473">SUM(H737,H739)</f>
        <v>0</v>
      </c>
      <c r="I733" s="18">
        <f t="shared" ref="I733" si="474">SUM(I737,I739)</f>
        <v>0</v>
      </c>
      <c r="J733" s="18">
        <f t="shared" ref="J733" si="475">SUM(J737,J739)</f>
        <v>0.65419287245644531</v>
      </c>
      <c r="K733" s="18">
        <f t="shared" ref="K733" si="476">SUM(K737,K739)</f>
        <v>1.6908374607233092</v>
      </c>
      <c r="L733" s="9"/>
      <c r="M733" s="9"/>
    </row>
    <row r="734" spans="2:13" x14ac:dyDescent="0.35">
      <c r="B734" s="5" t="str">
        <f t="shared" si="440"/>
        <v>SPS2</v>
      </c>
      <c r="C734" s="5" t="str">
        <f t="shared" ref="C734:C736" si="477">C733</f>
        <v>CH</v>
      </c>
      <c r="D734" t="s">
        <v>445</v>
      </c>
      <c r="E734" s="5" t="s">
        <v>442</v>
      </c>
      <c r="F734" s="18">
        <v>0</v>
      </c>
      <c r="G734" s="18">
        <v>0</v>
      </c>
      <c r="H734" s="18">
        <v>0</v>
      </c>
      <c r="I734" s="18">
        <v>0</v>
      </c>
      <c r="J734" s="18" cm="1">
        <f t="array" ref="J734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0.38144422778169013</v>
      </c>
      <c r="K734" s="18" cm="1">
        <f t="array" ref="K734">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1.2589734700948438</v>
      </c>
      <c r="L734" s="9"/>
      <c r="M734" s="9"/>
    </row>
    <row r="735" spans="2:13" x14ac:dyDescent="0.35">
      <c r="B735" s="5" t="str">
        <f t="shared" si="440"/>
        <v>SPS2</v>
      </c>
      <c r="C735" s="5" t="str">
        <f t="shared" si="477"/>
        <v>CH</v>
      </c>
      <c r="D735" t="s">
        <v>446</v>
      </c>
      <c r="E735" s="5" t="s">
        <v>442</v>
      </c>
      <c r="F735" s="18">
        <v>0</v>
      </c>
      <c r="G735" s="18">
        <v>0</v>
      </c>
      <c r="H735" s="18">
        <v>0</v>
      </c>
      <c r="I735" s="18">
        <v>0</v>
      </c>
      <c r="J735" s="18">
        <f>J733-J734-J736</f>
        <v>0.2727420646548675</v>
      </c>
      <c r="K735" s="18">
        <f>K733-K734-K736</f>
        <v>0.42479565052079798</v>
      </c>
      <c r="L735" s="9"/>
      <c r="M735" s="9"/>
    </row>
    <row r="736" spans="2:13" x14ac:dyDescent="0.35">
      <c r="B736" s="5" t="str">
        <f t="shared" si="440"/>
        <v>SPS2</v>
      </c>
      <c r="C736" s="5" t="str">
        <f t="shared" si="477"/>
        <v>CH</v>
      </c>
      <c r="D736" t="s">
        <v>455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6.5800198876549322E-6</v>
      </c>
      <c r="K736" s="18" cm="1">
        <f t="array" ref="K736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7.0683401076674056E-3</v>
      </c>
      <c r="L736" s="9"/>
    </row>
    <row r="737" spans="2:13" x14ac:dyDescent="0.35">
      <c r="B737" s="5" t="str">
        <f t="shared" si="440"/>
        <v>SPS2</v>
      </c>
      <c r="C737" s="5" t="str">
        <f>C733</f>
        <v>CH</v>
      </c>
      <c r="D737" t="s">
        <v>932</v>
      </c>
      <c r="E737" s="5" t="s">
        <v>442</v>
      </c>
      <c r="F737" s="18">
        <f>F738</f>
        <v>0</v>
      </c>
      <c r="G737" s="18">
        <f t="shared" ref="G737" si="478">G738</f>
        <v>0</v>
      </c>
      <c r="H737" s="18">
        <f t="shared" ref="H737" si="479">H738</f>
        <v>0</v>
      </c>
      <c r="I737" s="18">
        <f t="shared" ref="I737" si="480">I738</f>
        <v>0</v>
      </c>
      <c r="J737" s="18">
        <f t="shared" ref="J737" si="481">J738</f>
        <v>0.60030032425437319</v>
      </c>
      <c r="K737" s="18">
        <f t="shared" ref="K737" si="482">K738</f>
        <v>1.0128299453807772</v>
      </c>
      <c r="L737" s="9"/>
    </row>
    <row r="738" spans="2:13" x14ac:dyDescent="0.35">
      <c r="B738" s="5" t="str">
        <f t="shared" si="440"/>
        <v>SPS2</v>
      </c>
      <c r="C738" s="5" t="str">
        <f>C737</f>
        <v>CH</v>
      </c>
      <c r="D738" t="s">
        <v>451</v>
      </c>
      <c r="E738" s="5" t="s">
        <v>442</v>
      </c>
      <c r="F738" s="10" cm="1">
        <f t="array" ref="F738">SUMPRODUCT(("SUP_H2NGA"=[1]OUT_SyntheticFuels!$C$4:$C$1000)*1,("CO2_M"=[1]OUT_SyntheticFuels!$A$4:$A$1000)*1,("Var_Fin"=[1]OUT_SyntheticFuels!$B$4:$B$1000)*1,[1]OUT_SyntheticFuels!E$4:E$1000)/1000</f>
        <v>0</v>
      </c>
      <c r="G738" s="10" cm="1">
        <f t="array" ref="G738">SUMPRODUCT(("SUP_H2NGA"=[1]OUT_SyntheticFuels!$C$4:$C$1000)*1,("CO2_M"=[1]OUT_SyntheticFuels!$A$4:$A$1000)*1,("Var_Fin"=[1]OUT_SyntheticFuels!$B$4:$B$1000)*1,[1]OUT_SyntheticFuels!F$4:F$1000)/1000</f>
        <v>0</v>
      </c>
      <c r="H738" s="10" cm="1">
        <f t="array" ref="H738">SUMPRODUCT(("SUP_H2NGA"=[1]OUT_SyntheticFuels!$C$4:$C$1000)*1,("CO2_M"=[1]OUT_SyntheticFuels!$A$4:$A$1000)*1,("Var_Fin"=[1]OUT_SyntheticFuels!$B$4:$B$1000)*1,[1]OUT_SyntheticFuels!G$4:G$1000)/1000</f>
        <v>0</v>
      </c>
      <c r="I738" s="10" cm="1">
        <f t="array" ref="I738">SUMPRODUCT(("SUP_H2NGA"=[1]OUT_SyntheticFuels!$C$4:$C$1000)*1,("CO2_M"=[1]OUT_SyntheticFuels!$A$4:$A$1000)*1,("Var_Fin"=[1]OUT_SyntheticFuels!$B$4:$B$1000)*1,[1]OUT_SyntheticFuels!H$4:H$1000)/1000</f>
        <v>0</v>
      </c>
      <c r="J738" s="10" cm="1">
        <f t="array" ref="J738">SUMPRODUCT(("SUP_H2NGA"=[1]OUT_SyntheticFuels!$C$4:$C$1000)*1,("CO2_M"=[1]OUT_SyntheticFuels!$A$4:$A$1000)*1,("Var_Fin"=[1]OUT_SyntheticFuels!$B$4:$B$1000)*1,[1]OUT_SyntheticFuels!I$4:I$1000)/1000</f>
        <v>0.60030032425437319</v>
      </c>
      <c r="K738" s="10" cm="1">
        <f t="array" ref="K738">SUMPRODUCT(("SUP_H2NGA"=[1]OUT_SyntheticFuels!$C$4:$C$1000)*1,("CO2_M"=[1]OUT_SyntheticFuels!$A$4:$A$1000)*1,("Var_Fin"=[1]OUT_SyntheticFuels!$B$4:$B$1000)*1,[1]OUT_SyntheticFuels!J$4:J$1000)/1000</f>
        <v>1.0128299453807772</v>
      </c>
      <c r="L738" s="9"/>
    </row>
    <row r="739" spans="2:13" x14ac:dyDescent="0.35">
      <c r="B739" s="5" t="str">
        <f t="shared" si="440"/>
        <v>SPS2</v>
      </c>
      <c r="C739" s="5" t="str">
        <f t="shared" ref="C739:C742" si="483">C738</f>
        <v>CH</v>
      </c>
      <c r="D739" t="s">
        <v>933</v>
      </c>
      <c r="E739" s="5" t="s">
        <v>442</v>
      </c>
      <c r="F739" s="18">
        <f>SUM(F740:F742)</f>
        <v>0</v>
      </c>
      <c r="G739" s="18">
        <f t="shared" ref="G739" si="484">SUM(G740:G742)</f>
        <v>0</v>
      </c>
      <c r="H739" s="18">
        <f t="shared" ref="H739" si="485">SUM(H740:H742)</f>
        <v>0</v>
      </c>
      <c r="I739" s="18">
        <f t="shared" ref="I739" si="486">SUM(I740:I742)</f>
        <v>0</v>
      </c>
      <c r="J739" s="18">
        <f t="shared" ref="J739" si="487">SUM(J740:J742)</f>
        <v>5.3892548202072135E-2</v>
      </c>
      <c r="K739" s="18">
        <f t="shared" ref="K739" si="488">SUM(K740:K742)</f>
        <v>0.67800751534253201</v>
      </c>
      <c r="L739" s="9"/>
    </row>
    <row r="740" spans="2:13" x14ac:dyDescent="0.35">
      <c r="B740" s="5" t="str">
        <f t="shared" si="440"/>
        <v>SPS2</v>
      </c>
      <c r="C740" s="5" t="str">
        <f t="shared" si="483"/>
        <v>CH</v>
      </c>
      <c r="D740" t="s">
        <v>452</v>
      </c>
      <c r="E740" s="5" t="s">
        <v>442</v>
      </c>
      <c r="F740" s="10" cm="1">
        <f t="array" ref="F740">SUMPRODUCT(("SUP_H2DSL"=[1]OUT_SyntheticFuels!$C$4:$C$1000)*1,("co2_m"=[1]OUT_SyntheticFuels!$A$4:$A$1000)*1,("Var_Fin"=[1]OUT_SyntheticFuels!$B$4:$B$1000)*1,[1]OUT_SyntheticFuels!E$4:E$1000)*IFERROR(F716/SUM(F716,F718),0)/1000</f>
        <v>0</v>
      </c>
      <c r="G740" s="10" cm="1">
        <f t="array" ref="G740">SUMPRODUCT(("SUP_H2DSL"=[1]OUT_SyntheticFuels!$C$4:$C$1000)*1,("co2_m"=[1]OUT_SyntheticFuels!$A$4:$A$1000)*1,("Var_Fin"=[1]OUT_SyntheticFuels!$B$4:$B$1000)*1,[1]OUT_SyntheticFuels!F$4:F$1000)*IFERROR(G716/SUM(G716,G718),0)/1000</f>
        <v>0</v>
      </c>
      <c r="H740" s="10" cm="1">
        <f t="array" ref="H740">SUMPRODUCT(("SUP_H2DSL"=[1]OUT_SyntheticFuels!$C$4:$C$1000)*1,("co2_m"=[1]OUT_SyntheticFuels!$A$4:$A$1000)*1,("Var_Fin"=[1]OUT_SyntheticFuels!$B$4:$B$1000)*1,[1]OUT_SyntheticFuels!G$4:G$1000)*IFERROR(H716/SUM(H716,H718),0)/1000</f>
        <v>0</v>
      </c>
      <c r="I740" s="10" cm="1">
        <f t="array" ref="I740">SUMPRODUCT(("SUP_H2DSL"=[1]OUT_SyntheticFuels!$C$4:$C$1000)*1,("co2_m"=[1]OUT_SyntheticFuels!$A$4:$A$1000)*1,("Var_Fin"=[1]OUT_SyntheticFuels!$B$4:$B$1000)*1,[1]OUT_SyntheticFuels!H$4:H$1000)*IFERROR(I716/SUM(I716,I718),0)/1000</f>
        <v>0</v>
      </c>
      <c r="J740" s="10" cm="1">
        <f t="array" ref="J740">SUMPRODUCT(("SUP_H2DSL"=[1]OUT_SyntheticFuels!$C$4:$C$1000)*1,("co2_m"=[1]OUT_SyntheticFuels!$A$4:$A$1000)*1,("Var_Fin"=[1]OUT_SyntheticFuels!$B$4:$B$1000)*1,[1]OUT_SyntheticFuels!I$4:I$1000)*IFERROR(J716/SUM(J716,J718),0)/1000</f>
        <v>9.5320938233400907E-4</v>
      </c>
      <c r="K740" s="10" cm="1">
        <f t="array" ref="K740">SUMPRODUCT(("SUP_H2DSL"=[1]OUT_SyntheticFuels!$C$4:$C$1000)*1,("co2_m"=[1]OUT_SyntheticFuels!$A$4:$A$1000)*1,("Var_Fin"=[1]OUT_SyntheticFuels!$B$4:$B$1000)*1,[1]OUT_SyntheticFuels!J$4:J$1000)*IFERROR(K716/SUM(K716,K718),0)/1000</f>
        <v>0.63877303725114132</v>
      </c>
      <c r="L740" s="9"/>
    </row>
    <row r="741" spans="2:13" x14ac:dyDescent="0.35">
      <c r="B741" s="5" t="str">
        <f t="shared" si="440"/>
        <v>SPS2</v>
      </c>
      <c r="C741" s="5" t="str">
        <f t="shared" si="483"/>
        <v>CH</v>
      </c>
      <c r="D741" t="s">
        <v>453</v>
      </c>
      <c r="E741" s="5" t="s">
        <v>442</v>
      </c>
      <c r="F741" s="10" cm="1">
        <f t="array" ref="F741">SUMPRODUCT(("SUP_H2GSL"=[1]OUT_SyntheticFuels!$C$4:$C$1000)*1,("co2_m"=[1]OUT_SyntheticFuels!$A$4:$A$1000)*1,("Var_Fin"=[1]OUT_SyntheticFuels!$B$4:$B$1000)*1,[1]OUT_SyntheticFuels!E$4:E$1000)/1000</f>
        <v>0</v>
      </c>
      <c r="G741" s="10" cm="1">
        <f t="array" ref="G741">SUMPRODUCT(("SUP_H2GSL"=[1]OUT_SyntheticFuels!$C$4:$C$1000)*1,("co2_m"=[1]OUT_SyntheticFuels!$A$4:$A$1000)*1,("Var_Fin"=[1]OUT_SyntheticFuels!$B$4:$B$1000)*1,[1]OUT_SyntheticFuels!F$4:F$1000)/1000</f>
        <v>0</v>
      </c>
      <c r="H741" s="10" cm="1">
        <f t="array" ref="H741">SUMPRODUCT(("SUP_H2GSL"=[1]OUT_SyntheticFuels!$C$4:$C$1000)*1,("co2_m"=[1]OUT_SyntheticFuels!$A$4:$A$1000)*1,("Var_Fin"=[1]OUT_SyntheticFuels!$B$4:$B$1000)*1,[1]OUT_SyntheticFuels!G$4:G$1000)/1000</f>
        <v>0</v>
      </c>
      <c r="I741" s="10" cm="1">
        <f t="array" ref="I741">SUMPRODUCT(("SUP_H2GSL"=[1]OUT_SyntheticFuels!$C$4:$C$1000)*1,("co2_m"=[1]OUT_SyntheticFuels!$A$4:$A$1000)*1,("Var_Fin"=[1]OUT_SyntheticFuels!$B$4:$B$1000)*1,[1]OUT_SyntheticFuels!H$4:H$1000)/1000</f>
        <v>0</v>
      </c>
      <c r="J741" s="10" cm="1">
        <f t="array" ref="J741">SUMPRODUCT(("SUP_H2GSL"=[1]OUT_SyntheticFuels!$C$4:$C$1000)*1,("co2_m"=[1]OUT_SyntheticFuels!$A$4:$A$1000)*1,("Var_Fin"=[1]OUT_SyntheticFuels!$B$4:$B$1000)*1,[1]OUT_SyntheticFuels!I$4:I$1000)/1000</f>
        <v>5.2819536127988322E-2</v>
      </c>
      <c r="K741" s="10" cm="1">
        <f t="array" ref="K741">SUMPRODUCT(("SUP_H2GSL"=[1]OUT_SyntheticFuels!$C$4:$C$1000)*1,("co2_m"=[1]OUT_SyntheticFuels!$A$4:$A$1000)*1,("Var_Fin"=[1]OUT_SyntheticFuels!$B$4:$B$1000)*1,[1]OUT_SyntheticFuels!J$4:J$1000)/1000</f>
        <v>3.9234334354510535E-2</v>
      </c>
      <c r="L741" s="9"/>
      <c r="M741" s="9"/>
    </row>
    <row r="742" spans="2:13" x14ac:dyDescent="0.35">
      <c r="B742" s="5" t="str">
        <f t="shared" si="440"/>
        <v>SPS2</v>
      </c>
      <c r="C742" s="5" t="str">
        <f t="shared" si="483"/>
        <v>CH</v>
      </c>
      <c r="D742" t="s">
        <v>454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SUMPRODUCT(("SUP_H2DSL"=[1]OUT_SyntheticFuels!$C$4:$C$1000)*1,("co2_m"=[1]OUT_SyntheticFuels!$A$4:$A$1000)*1,("Var_Fin"=[1]OUT_SyntheticFuels!$B$4:$B$1000)*1,[1]OUT_SyntheticFuels!E$4:E$1000)/1000-F740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SUMPRODUCT(("SUP_H2DSL"=[1]OUT_SyntheticFuels!$C$4:$C$1000)*1,("co2_m"=[1]OUT_SyntheticFuels!$A$4:$A$1000)*1,("Var_Fin"=[1]OUT_SyntheticFuels!$B$4:$B$1000)*1,[1]OUT_SyntheticFuels!F$4:F$1000)/1000-G740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SUMPRODUCT(("SUP_H2DSL"=[1]OUT_SyntheticFuels!$C$4:$C$1000)*1,("co2_m"=[1]OUT_SyntheticFuels!$A$4:$A$1000)*1,("Var_Fin"=[1]OUT_SyntheticFuels!$B$4:$B$1000)*1,[1]OUT_SyntheticFuels!G$4:G$1000)/1000-H740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SUMPRODUCT(("SUP_H2DSL"=[1]OUT_SyntheticFuels!$C$4:$C$1000)*1,("co2_m"=[1]OUT_SyntheticFuels!$A$4:$A$1000)*1,("Var_Fin"=[1]OUT_SyntheticFuels!$B$4:$B$1000)*1,[1]OUT_SyntheticFuels!H$4:H$1000)/1000-I740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SUMPRODUCT(("SUP_H2DSL"=[1]OUT_SyntheticFuels!$C$4:$C$1000)*1,("co2_m"=[1]OUT_SyntheticFuels!$A$4:$A$1000)*1,("Var_Fin"=[1]OUT_SyntheticFuels!$B$4:$B$1000)*1,[1]OUT_SyntheticFuels!I$4:I$1000)/1000-J740</f>
        <v>1.1980269174980654E-4</v>
      </c>
      <c r="K742" s="10" cm="1">
        <f t="array" ref="K742">SUMPRODUCT(("SUP_H2DSL"=[1]OUT_SyntheticFuels!$C$4:$C$1000)*1,("co2_m"=[1]OUT_SyntheticFuels!$A$4:$A$1000)*1,("Var_Fin"=[1]OUT_SyntheticFuels!$B$4:$B$1000)*1,[1]OUT_SyntheticFuels!J$4:J$1000)/1000-K740</f>
        <v>1.4373688017599306E-7</v>
      </c>
      <c r="L742" s="9"/>
      <c r="M742" s="9"/>
    </row>
    <row r="743" spans="2:13" x14ac:dyDescent="0.35">
      <c r="B743" s="5" t="str">
        <f t="shared" si="440"/>
        <v>SPS2</v>
      </c>
      <c r="C743" s="5" t="str">
        <f>C739</f>
        <v>CH</v>
      </c>
      <c r="D743" t="s">
        <v>934</v>
      </c>
      <c r="E743" s="5" t="s">
        <v>442</v>
      </c>
      <c r="F743" s="18">
        <f>IFERROR(F$734/F$733,0)*F737</f>
        <v>0</v>
      </c>
      <c r="G743" s="18">
        <f t="shared" ref="G743:K743" si="489">IFERROR(G$734/G$733,0)*G737</f>
        <v>0</v>
      </c>
      <c r="H743" s="18">
        <f t="shared" si="489"/>
        <v>0</v>
      </c>
      <c r="I743" s="18">
        <f t="shared" si="489"/>
        <v>0</v>
      </c>
      <c r="J743" s="18">
        <f t="shared" si="489"/>
        <v>0.35002077103423745</v>
      </c>
      <c r="K743" s="18">
        <f t="shared" si="489"/>
        <v>0.75413873927688624</v>
      </c>
    </row>
    <row r="744" spans="2:13" x14ac:dyDescent="0.35">
      <c r="B744" s="5" t="str">
        <f t="shared" si="440"/>
        <v>SPS2</v>
      </c>
      <c r="C744" s="5" t="str">
        <f>C743</f>
        <v>CH</v>
      </c>
      <c r="D744" t="s">
        <v>456</v>
      </c>
      <c r="E744" s="5" t="s">
        <v>442</v>
      </c>
      <c r="F744" s="18">
        <f t="shared" ref="F744:K744" si="490">IFERROR(F$734/F$733,0)*F738</f>
        <v>0</v>
      </c>
      <c r="G744" s="18">
        <f t="shared" si="490"/>
        <v>0</v>
      </c>
      <c r="H744" s="18">
        <f t="shared" si="490"/>
        <v>0</v>
      </c>
      <c r="I744" s="18">
        <f t="shared" si="490"/>
        <v>0</v>
      </c>
      <c r="J744" s="18">
        <f t="shared" si="490"/>
        <v>0.35002077103423745</v>
      </c>
      <c r="K744" s="18">
        <f t="shared" si="490"/>
        <v>0.75413873927688624</v>
      </c>
    </row>
    <row r="745" spans="2:13" x14ac:dyDescent="0.35">
      <c r="B745" s="5" t="str">
        <f t="shared" si="440"/>
        <v>SPS2</v>
      </c>
      <c r="C745" s="5" t="str">
        <f t="shared" ref="C745:C748" si="491">C744</f>
        <v>CH</v>
      </c>
      <c r="D745" t="s">
        <v>935</v>
      </c>
      <c r="E745" s="5" t="s">
        <v>442</v>
      </c>
      <c r="F745" s="18">
        <f t="shared" ref="F745:K745" si="492">IFERROR(F$734/F$733,0)*F739</f>
        <v>0</v>
      </c>
      <c r="G745" s="18">
        <f t="shared" si="492"/>
        <v>0</v>
      </c>
      <c r="H745" s="18">
        <f t="shared" si="492"/>
        <v>0</v>
      </c>
      <c r="I745" s="18">
        <f t="shared" si="492"/>
        <v>0</v>
      </c>
      <c r="J745" s="18">
        <f t="shared" si="492"/>
        <v>3.1423456747452651E-2</v>
      </c>
      <c r="K745" s="18">
        <f t="shared" si="492"/>
        <v>0.50483473081795749</v>
      </c>
    </row>
    <row r="746" spans="2:13" x14ac:dyDescent="0.35">
      <c r="B746" s="5" t="str">
        <f t="shared" si="440"/>
        <v>SPS2</v>
      </c>
      <c r="C746" s="5" t="str">
        <f t="shared" si="491"/>
        <v>CH</v>
      </c>
      <c r="D746" t="s">
        <v>457</v>
      </c>
      <c r="E746" s="5" t="s">
        <v>442</v>
      </c>
      <c r="F746" s="18">
        <f t="shared" ref="F746:K746" si="493">IFERROR(F$734/F$733,0)*F740</f>
        <v>0</v>
      </c>
      <c r="G746" s="18">
        <f t="shared" si="493"/>
        <v>0</v>
      </c>
      <c r="H746" s="18">
        <f t="shared" si="493"/>
        <v>0</v>
      </c>
      <c r="I746" s="18">
        <f t="shared" si="493"/>
        <v>0</v>
      </c>
      <c r="J746" s="18">
        <f t="shared" si="493"/>
        <v>5.5579360776796807E-4</v>
      </c>
      <c r="K746" s="18">
        <f t="shared" si="493"/>
        <v>0.47562129772489842</v>
      </c>
    </row>
    <row r="747" spans="2:13" x14ac:dyDescent="0.35">
      <c r="B747" s="5" t="str">
        <f t="shared" si="440"/>
        <v>SPS2</v>
      </c>
      <c r="C747" s="5" t="str">
        <f t="shared" si="491"/>
        <v>CH</v>
      </c>
      <c r="D747" t="s">
        <v>458</v>
      </c>
      <c r="E747" s="5" t="s">
        <v>442</v>
      </c>
      <c r="F747" s="18">
        <f t="shared" ref="F747:K747" si="494">IFERROR(F$734/F$733,0)*F741</f>
        <v>0</v>
      </c>
      <c r="G747" s="18">
        <f t="shared" si="494"/>
        <v>0</v>
      </c>
      <c r="H747" s="18">
        <f t="shared" si="494"/>
        <v>0</v>
      </c>
      <c r="I747" s="18">
        <f t="shared" si="494"/>
        <v>0</v>
      </c>
      <c r="J747" s="18">
        <f t="shared" si="494"/>
        <v>3.0797809053581482E-2</v>
      </c>
      <c r="K747" s="18">
        <f t="shared" si="494"/>
        <v>2.9213326068627081E-2</v>
      </c>
    </row>
    <row r="748" spans="2:13" x14ac:dyDescent="0.35">
      <c r="B748" s="5" t="str">
        <f t="shared" si="440"/>
        <v>SPS2</v>
      </c>
      <c r="C748" s="5" t="str">
        <f t="shared" si="491"/>
        <v>CH</v>
      </c>
      <c r="D748" t="s">
        <v>459</v>
      </c>
      <c r="E748" s="5" t="s">
        <v>442</v>
      </c>
      <c r="F748" s="18">
        <f t="shared" ref="F748:K748" si="495">IFERROR(F$734/F$733,0)*F742</f>
        <v>0</v>
      </c>
      <c r="G748" s="18">
        <f t="shared" si="495"/>
        <v>0</v>
      </c>
      <c r="H748" s="18">
        <f t="shared" si="495"/>
        <v>0</v>
      </c>
      <c r="I748" s="18">
        <f t="shared" si="495"/>
        <v>0</v>
      </c>
      <c r="J748" s="18">
        <f t="shared" si="495"/>
        <v>6.9854086103200835E-5</v>
      </c>
      <c r="K748" s="18">
        <f t="shared" si="495"/>
        <v>1.0702443198671798E-7</v>
      </c>
    </row>
    <row r="749" spans="2:13" x14ac:dyDescent="0.35">
      <c r="B749" s="5" t="str">
        <f t="shared" si="440"/>
        <v>SPS2</v>
      </c>
      <c r="C749" s="5" t="str">
        <f>C745</f>
        <v>CH</v>
      </c>
      <c r="D749" t="s">
        <v>936</v>
      </c>
      <c r="E749" s="5" t="s">
        <v>442</v>
      </c>
      <c r="F749" s="18">
        <f>IFERROR(F$735/F$733,0)*F737</f>
        <v>0</v>
      </c>
      <c r="G749" s="18">
        <f t="shared" ref="G749:K749" si="496">IFERROR(G$735/G$733,0)*G737</f>
        <v>0</v>
      </c>
      <c r="H749" s="18">
        <f t="shared" si="496"/>
        <v>0</v>
      </c>
      <c r="I749" s="18">
        <f t="shared" si="496"/>
        <v>0</v>
      </c>
      <c r="J749" s="18">
        <f t="shared" si="496"/>
        <v>0.25027351526368818</v>
      </c>
      <c r="K749" s="18">
        <f t="shared" si="496"/>
        <v>0.25445719385169069</v>
      </c>
    </row>
    <row r="750" spans="2:13" x14ac:dyDescent="0.35">
      <c r="B750" s="5" t="str">
        <f t="shared" si="440"/>
        <v>SPS2</v>
      </c>
      <c r="C750" s="5" t="str">
        <f>C749</f>
        <v>CH</v>
      </c>
      <c r="D750" t="s">
        <v>460</v>
      </c>
      <c r="E750" s="5" t="s">
        <v>442</v>
      </c>
      <c r="F750" s="18">
        <f t="shared" ref="F750:K750" si="497">IFERROR(F$735/F$733,0)*F738</f>
        <v>0</v>
      </c>
      <c r="G750" s="18">
        <f t="shared" si="497"/>
        <v>0</v>
      </c>
      <c r="H750" s="18">
        <f t="shared" si="497"/>
        <v>0</v>
      </c>
      <c r="I750" s="18">
        <f t="shared" si="497"/>
        <v>0</v>
      </c>
      <c r="J750" s="18">
        <f t="shared" si="497"/>
        <v>0.25027351526368818</v>
      </c>
      <c r="K750" s="18">
        <f t="shared" si="497"/>
        <v>0.25445719385169069</v>
      </c>
    </row>
    <row r="751" spans="2:13" x14ac:dyDescent="0.35">
      <c r="B751" s="5" t="str">
        <f t="shared" si="440"/>
        <v>SPS2</v>
      </c>
      <c r="C751" s="5" t="str">
        <f t="shared" ref="C751:C754" si="498">C750</f>
        <v>CH</v>
      </c>
      <c r="D751" t="s">
        <v>937</v>
      </c>
      <c r="E751" s="5" t="s">
        <v>442</v>
      </c>
      <c r="F751" s="18">
        <f t="shared" ref="F751:K751" si="499">IFERROR(F$735/F$733,0)*F739</f>
        <v>0</v>
      </c>
      <c r="G751" s="18">
        <f t="shared" si="499"/>
        <v>0</v>
      </c>
      <c r="H751" s="18">
        <f t="shared" si="499"/>
        <v>0</v>
      </c>
      <c r="I751" s="18">
        <f t="shared" si="499"/>
        <v>0</v>
      </c>
      <c r="J751" s="18">
        <f t="shared" si="499"/>
        <v>2.2468549391179329E-2</v>
      </c>
      <c r="K751" s="18">
        <f t="shared" si="499"/>
        <v>0.1703384566691073</v>
      </c>
    </row>
    <row r="752" spans="2:13" x14ac:dyDescent="0.35">
      <c r="B752" s="5" t="str">
        <f t="shared" si="440"/>
        <v>SPS2</v>
      </c>
      <c r="C752" s="5" t="str">
        <f t="shared" si="498"/>
        <v>CH</v>
      </c>
      <c r="D752" t="s">
        <v>461</v>
      </c>
      <c r="E752" s="5" t="s">
        <v>442</v>
      </c>
      <c r="F752" s="18">
        <f t="shared" ref="F752:K752" si="500">IFERROR(F$735/F$733,0)*F740</f>
        <v>0</v>
      </c>
      <c r="G752" s="18">
        <f t="shared" si="500"/>
        <v>0</v>
      </c>
      <c r="H752" s="18">
        <f t="shared" si="500"/>
        <v>0</v>
      </c>
      <c r="I752" s="18">
        <f t="shared" si="500"/>
        <v>0</v>
      </c>
      <c r="J752" s="18">
        <f t="shared" si="500"/>
        <v>3.9740618697046032E-4</v>
      </c>
      <c r="K752" s="18">
        <f t="shared" si="500"/>
        <v>0.16048142662877057</v>
      </c>
    </row>
    <row r="753" spans="2:13" x14ac:dyDescent="0.35">
      <c r="B753" s="5" t="str">
        <f t="shared" si="440"/>
        <v>SPS2</v>
      </c>
      <c r="C753" s="5" t="str">
        <f t="shared" si="498"/>
        <v>CH</v>
      </c>
      <c r="D753" t="s">
        <v>462</v>
      </c>
      <c r="E753" s="5" t="s">
        <v>442</v>
      </c>
      <c r="F753" s="18">
        <f t="shared" ref="F753:K753" si="501">IFERROR(F$735/F$733,0)*F741</f>
        <v>0</v>
      </c>
      <c r="G753" s="18">
        <f t="shared" si="501"/>
        <v>0</v>
      </c>
      <c r="H753" s="18">
        <f t="shared" si="501"/>
        <v>0</v>
      </c>
      <c r="I753" s="18">
        <f t="shared" si="501"/>
        <v>0</v>
      </c>
      <c r="J753" s="18">
        <f t="shared" si="501"/>
        <v>2.2021195803564837E-2</v>
      </c>
      <c r="K753" s="18">
        <f t="shared" si="501"/>
        <v>9.8569939287630522E-3</v>
      </c>
    </row>
    <row r="754" spans="2:13" x14ac:dyDescent="0.35">
      <c r="B754" s="5" t="str">
        <f t="shared" si="440"/>
        <v>SPS2</v>
      </c>
      <c r="C754" s="5" t="str">
        <f t="shared" si="498"/>
        <v>CH</v>
      </c>
      <c r="D754" t="s">
        <v>463</v>
      </c>
      <c r="E754" s="5" t="s">
        <v>442</v>
      </c>
      <c r="F754" s="18">
        <f t="shared" ref="F754:K754" si="502">IFERROR(F$735/F$733,0)*F742</f>
        <v>0</v>
      </c>
      <c r="G754" s="18">
        <f t="shared" si="502"/>
        <v>0</v>
      </c>
      <c r="H754" s="18">
        <f t="shared" si="502"/>
        <v>0</v>
      </c>
      <c r="I754" s="18">
        <f t="shared" si="502"/>
        <v>0</v>
      </c>
      <c r="J754" s="18">
        <f t="shared" si="502"/>
        <v>4.9947400644033067E-5</v>
      </c>
      <c r="K754" s="18">
        <f t="shared" si="502"/>
        <v>3.6111573664846019E-8</v>
      </c>
    </row>
    <row r="755" spans="2:13" x14ac:dyDescent="0.35">
      <c r="B755" s="5" t="str">
        <f t="shared" si="440"/>
        <v>SPS2</v>
      </c>
      <c r="C755" s="5" t="str">
        <f>C751</f>
        <v>CH</v>
      </c>
      <c r="D755" t="s">
        <v>938</v>
      </c>
      <c r="E755" s="5" t="s">
        <v>442</v>
      </c>
      <c r="F755" s="18">
        <f>IFERROR(F$736/F$733,0)*F737</f>
        <v>0</v>
      </c>
      <c r="G755" s="18">
        <f t="shared" ref="G755:K755" si="503">IFERROR(G$736/G$733,0)*G737</f>
        <v>0</v>
      </c>
      <c r="H755" s="18">
        <f t="shared" si="503"/>
        <v>0</v>
      </c>
      <c r="I755" s="18">
        <f t="shared" si="503"/>
        <v>0</v>
      </c>
      <c r="J755" s="18">
        <f t="shared" si="503"/>
        <v>6.0379564475038835E-6</v>
      </c>
      <c r="K755" s="18">
        <f t="shared" si="503"/>
        <v>4.2340122522001823E-3</v>
      </c>
    </row>
    <row r="756" spans="2:13" x14ac:dyDescent="0.35">
      <c r="B756" s="5" t="str">
        <f t="shared" ref="B756:B819" si="504">B755</f>
        <v>SPS2</v>
      </c>
      <c r="C756" s="5" t="str">
        <f>C755</f>
        <v>CH</v>
      </c>
      <c r="D756" t="s">
        <v>464</v>
      </c>
      <c r="E756" s="5" t="s">
        <v>442</v>
      </c>
      <c r="F756" s="18">
        <f t="shared" ref="F756:K756" si="505">IFERROR(F$736/F$733,0)*F738</f>
        <v>0</v>
      </c>
      <c r="G756" s="18">
        <f t="shared" si="505"/>
        <v>0</v>
      </c>
      <c r="H756" s="18">
        <f t="shared" si="505"/>
        <v>0</v>
      </c>
      <c r="I756" s="18">
        <f t="shared" si="505"/>
        <v>0</v>
      </c>
      <c r="J756" s="18">
        <f t="shared" si="505"/>
        <v>6.0379564475038835E-6</v>
      </c>
      <c r="K756" s="18">
        <f t="shared" si="505"/>
        <v>4.2340122522001823E-3</v>
      </c>
    </row>
    <row r="757" spans="2:13" x14ac:dyDescent="0.35">
      <c r="B757" s="5" t="str">
        <f t="shared" si="504"/>
        <v>SPS2</v>
      </c>
      <c r="C757" s="5" t="str">
        <f t="shared" ref="C757:C760" si="506">C756</f>
        <v>CH</v>
      </c>
      <c r="D757" t="s">
        <v>939</v>
      </c>
      <c r="E757" s="5" t="s">
        <v>442</v>
      </c>
      <c r="F757" s="18">
        <f t="shared" ref="F757:K757" si="507">IFERROR(F$736/F$733,0)*F739</f>
        <v>0</v>
      </c>
      <c r="G757" s="18">
        <f t="shared" si="507"/>
        <v>0</v>
      </c>
      <c r="H757" s="18">
        <f t="shared" si="507"/>
        <v>0</v>
      </c>
      <c r="I757" s="18">
        <f t="shared" si="507"/>
        <v>0</v>
      </c>
      <c r="J757" s="18">
        <f t="shared" si="507"/>
        <v>5.4206344015104832E-7</v>
      </c>
      <c r="K757" s="18">
        <f t="shared" si="507"/>
        <v>2.8343278554672237E-3</v>
      </c>
    </row>
    <row r="758" spans="2:13" x14ac:dyDescent="0.35">
      <c r="B758" s="5" t="str">
        <f t="shared" si="504"/>
        <v>SPS2</v>
      </c>
      <c r="C758" s="5" t="str">
        <f t="shared" si="506"/>
        <v>CH</v>
      </c>
      <c r="D758" t="s">
        <v>465</v>
      </c>
      <c r="E758" s="5" t="s">
        <v>442</v>
      </c>
      <c r="F758" s="18">
        <f t="shared" ref="F758:K758" si="508">IFERROR(F$736/F$733,0)*F740</f>
        <v>0</v>
      </c>
      <c r="G758" s="18">
        <f t="shared" si="508"/>
        <v>0</v>
      </c>
      <c r="H758" s="18">
        <f t="shared" si="508"/>
        <v>0</v>
      </c>
      <c r="I758" s="18">
        <f t="shared" si="508"/>
        <v>0</v>
      </c>
      <c r="J758" s="18">
        <f t="shared" si="508"/>
        <v>9.5875955806513899E-9</v>
      </c>
      <c r="K758" s="18">
        <f t="shared" si="508"/>
        <v>2.6703128974723011E-3</v>
      </c>
    </row>
    <row r="759" spans="2:13" x14ac:dyDescent="0.35">
      <c r="B759" s="5" t="str">
        <f t="shared" si="504"/>
        <v>SPS2</v>
      </c>
      <c r="C759" s="5" t="str">
        <f t="shared" si="506"/>
        <v>CH</v>
      </c>
      <c r="D759" t="s">
        <v>466</v>
      </c>
      <c r="E759" s="5" t="s">
        <v>442</v>
      </c>
      <c r="F759" s="18">
        <f t="shared" ref="F759:K759" si="509">IFERROR(F$736/F$733,0)*F741</f>
        <v>0</v>
      </c>
      <c r="G759" s="18">
        <f t="shared" si="509"/>
        <v>0</v>
      </c>
      <c r="H759" s="18">
        <f t="shared" si="509"/>
        <v>0</v>
      </c>
      <c r="I759" s="18">
        <f t="shared" si="509"/>
        <v>0</v>
      </c>
      <c r="J759" s="18">
        <f t="shared" si="509"/>
        <v>5.3127084199776373E-7</v>
      </c>
      <c r="K759" s="18">
        <f t="shared" si="509"/>
        <v>1.6401435712039815E-4</v>
      </c>
    </row>
    <row r="760" spans="2:13" x14ac:dyDescent="0.35">
      <c r="B760" s="5" t="str">
        <f t="shared" si="504"/>
        <v>SPS2</v>
      </c>
      <c r="C760" s="5" t="str">
        <f t="shared" si="506"/>
        <v>CH</v>
      </c>
      <c r="D760" t="s">
        <v>467</v>
      </c>
      <c r="E760" s="5" t="s">
        <v>442</v>
      </c>
      <c r="F760" s="18">
        <f t="shared" ref="F760:K760" si="510">IFERROR(F$736/F$733,0)*F742</f>
        <v>0</v>
      </c>
      <c r="G760" s="18">
        <f t="shared" si="510"/>
        <v>0</v>
      </c>
      <c r="H760" s="18">
        <f t="shared" si="510"/>
        <v>0</v>
      </c>
      <c r="I760" s="18">
        <f t="shared" si="510"/>
        <v>0</v>
      </c>
      <c r="J760" s="18">
        <f t="shared" si="510"/>
        <v>1.2050025726332016E-9</v>
      </c>
      <c r="K760" s="18">
        <f t="shared" si="510"/>
        <v>6.0087452442905886E-10</v>
      </c>
    </row>
    <row r="761" spans="2:13" x14ac:dyDescent="0.35">
      <c r="B761" s="9" t="str">
        <f t="shared" si="504"/>
        <v>SPS2</v>
      </c>
      <c r="C761" s="9" t="str">
        <f t="shared" ref="C761:C775" si="511">C760</f>
        <v>CH</v>
      </c>
      <c r="D761" s="2" t="s">
        <v>496</v>
      </c>
      <c r="E761" s="9" t="s">
        <v>8</v>
      </c>
      <c r="F761" s="17">
        <f t="shared" ref="F761:K761" si="512">F762+F766+F776+F787+F789+F801+F803+F805+F809+F811+F813</f>
        <v>142.21829718138034</v>
      </c>
      <c r="G761" s="17">
        <f t="shared" si="512"/>
        <v>141.18715560714469</v>
      </c>
      <c r="H761" s="17">
        <f t="shared" si="512"/>
        <v>142.48673319023285</v>
      </c>
      <c r="I761" s="17">
        <f t="shared" si="512"/>
        <v>142.18005831000923</v>
      </c>
      <c r="J761" s="17">
        <f t="shared" si="512"/>
        <v>134.86590382106047</v>
      </c>
      <c r="K761" s="17">
        <f t="shared" si="512"/>
        <v>136.64847945131041</v>
      </c>
    </row>
    <row r="762" spans="2:13" x14ac:dyDescent="0.35">
      <c r="B762" s="5" t="str">
        <f t="shared" si="504"/>
        <v>SPS2</v>
      </c>
      <c r="C762" s="5" t="str">
        <f t="shared" si="511"/>
        <v>CH</v>
      </c>
      <c r="D762" t="s">
        <v>940</v>
      </c>
      <c r="E762" t="s">
        <v>8</v>
      </c>
      <c r="F762" s="18">
        <f>[1]Industry!B$11</f>
        <v>60.070144284535317</v>
      </c>
      <c r="G762" s="18">
        <f>[1]Industry!C$11</f>
        <v>62.576466668237401</v>
      </c>
      <c r="H762" s="18">
        <f>[1]Industry!D$11</f>
        <v>69.495752273185772</v>
      </c>
      <c r="I762" s="18">
        <f>[1]Industry!E$11</f>
        <v>72.092472791407701</v>
      </c>
      <c r="J762" s="18">
        <f>[1]Industry!F$11</f>
        <v>70.391240786734187</v>
      </c>
      <c r="K762" s="18">
        <f>[1]Industry!G$11</f>
        <v>74.140339674588972</v>
      </c>
    </row>
    <row r="763" spans="2:13" x14ac:dyDescent="0.35">
      <c r="B763" s="5" t="str">
        <f t="shared" si="504"/>
        <v>SPS2</v>
      </c>
      <c r="C763" s="5" t="str">
        <f t="shared" si="511"/>
        <v>CH</v>
      </c>
      <c r="D763" t="s">
        <v>758</v>
      </c>
      <c r="E763" t="s">
        <v>8</v>
      </c>
      <c r="F763" s="1">
        <f t="shared" ref="F763:J763" si="513">F762-F764-F765</f>
        <v>11.647023348544266</v>
      </c>
      <c r="G763" s="1">
        <f t="shared" si="513"/>
        <v>12.258998716051899</v>
      </c>
      <c r="H763" s="1">
        <f t="shared" si="513"/>
        <v>17.673862059071183</v>
      </c>
      <c r="I763" s="1">
        <f t="shared" si="513"/>
        <v>17.650860177425713</v>
      </c>
      <c r="J763" s="1">
        <f t="shared" si="513"/>
        <v>17.604291599450363</v>
      </c>
      <c r="K763" s="1">
        <f>K762-K764-K765</f>
        <v>17.55795842485</v>
      </c>
      <c r="L763" s="1"/>
      <c r="M763" s="1"/>
    </row>
    <row r="764" spans="2:13" x14ac:dyDescent="0.35">
      <c r="B764" s="5" t="str">
        <f t="shared" si="504"/>
        <v>SPS2</v>
      </c>
      <c r="C764" s="5" t="str">
        <f t="shared" si="511"/>
        <v>CH</v>
      </c>
      <c r="D764" t="s">
        <v>721</v>
      </c>
      <c r="E764" t="s">
        <v>8</v>
      </c>
      <c r="F764" s="1" cm="1">
        <f t="array" ref="F764">SUMPRODUCT(([1]OUT_FinalEnergyCons!$B$4:$B$10000="Var_Fin")*1, ([1]OUT_FinalEnergyCons!$C$4:$C$10000="ITOT_ELC")*1, (ISNUMBER(SEARCH("ITOT-SWHELCHP",[1]OUT_FinalEnergyCons!$A$4:$A$10000)))*1,[1]OUT_FinalEnergyCons!D$4:D$10000)</f>
        <v>0.35972328382004198</v>
      </c>
      <c r="G764" s="1" cm="1">
        <f t="array" ref="G764">SUMPRODUCT(([1]OUT_FinalEnergyCons!$B$4:$B$10000="Var_Fin")*1, ([1]OUT_FinalEnergyCons!$C$4:$C$10000="ITOT_ELC")*1, (ISNUMBER(SEARCH("ITOT-SWHELCHP",[1]OUT_FinalEnergyCons!$A$4:$A$10000)))*1,[1]OUT_FinalEnergyCons!E$4:E$10000)</f>
        <v>0.45108020586439074</v>
      </c>
      <c r="H764" s="1" cm="1">
        <f t="array" ref="H764">SUMPRODUCT(([1]OUT_FinalEnergyCons!$B$4:$B$10000="Var_Fin")*1, ([1]OUT_FinalEnergyCons!$C$4:$C$10000="ITOT_ELC")*1, (ISNUMBER(SEARCH("ITOT-SWHELCHP",[1]OUT_FinalEnergyCons!$A$4:$A$10000)))*1,[1]OUT_FinalEnergyCons!F$4:F$10000)</f>
        <v>0.53798471269566517</v>
      </c>
      <c r="I764" s="1" cm="1">
        <f t="array" ref="I764">SUMPRODUCT(([1]OUT_FinalEnergyCons!$B$4:$B$10000="Var_Fin")*1, ([1]OUT_FinalEnergyCons!$C$4:$C$10000="ITOT_ELC")*1, (ISNUMBER(SEARCH("ITOT-SWHELCHP",[1]OUT_FinalEnergyCons!$A$4:$A$10000)))*1,[1]OUT_FinalEnergyCons!G$4:G$10000)</f>
        <v>1.8402866007512284</v>
      </c>
      <c r="J764" s="1" cm="1">
        <f t="array" ref="J764">SUMPRODUCT(([1]OUT_FinalEnergyCons!$B$4:$B$10000="Var_Fin")*1, ([1]OUT_FinalEnergyCons!$C$4:$C$10000="ITOT_ELC")*1, (ISNUMBER(SEARCH("ITOT-SWHELCHP",[1]OUT_FinalEnergyCons!$A$4:$A$10000)))*1,[1]OUT_FinalEnergyCons!H$4:H$10000)</f>
        <v>1.7723620252684504</v>
      </c>
      <c r="K764" s="1" cm="1">
        <f t="array" ref="K764">SUMPRODUCT(([1]OUT_FinalEnergyCons!$B$4:$B$10000="Var_Fin")*1, ([1]OUT_FinalEnergyCons!$C$4:$C$10000="ITOT_ELC")*1, (ISNUMBER(SEARCH("ITOT-SWHELCHP",[1]OUT_FinalEnergyCons!$A$4:$A$10000)))*1,[1]OUT_FinalEnergyCons!I$4:I$10000)</f>
        <v>1.7092741559244702</v>
      </c>
    </row>
    <row r="765" spans="2:13" x14ac:dyDescent="0.35">
      <c r="B765" s="5" t="str">
        <f t="shared" si="504"/>
        <v>SPS2</v>
      </c>
      <c r="C765" s="5" t="str">
        <f t="shared" si="511"/>
        <v>CH</v>
      </c>
      <c r="D765" t="s">
        <v>468</v>
      </c>
      <c r="E765" t="s">
        <v>8</v>
      </c>
      <c r="F765" s="1">
        <f>[1]Industry!B$11-[1]Industry!B$33</f>
        <v>48.063397652171005</v>
      </c>
      <c r="G765" s="1">
        <f>[1]Industry!C$11-[1]Industry!C$33</f>
        <v>49.866387746321109</v>
      </c>
      <c r="H765" s="1">
        <f>[1]Industry!D$11-[1]Industry!D$33</f>
        <v>51.283905501418928</v>
      </c>
      <c r="I765" s="1">
        <f>[1]Industry!E$11-[1]Industry!E$33</f>
        <v>52.601326013230761</v>
      </c>
      <c r="J765" s="1">
        <f>[1]Industry!F$11-[1]Industry!F$33</f>
        <v>51.014587162015374</v>
      </c>
      <c r="K765" s="1">
        <f>[1]Industry!G$11-[1]Industry!G$33</f>
        <v>54.873107093814497</v>
      </c>
    </row>
    <row r="766" spans="2:13" x14ac:dyDescent="0.35">
      <c r="B766" s="5" t="str">
        <f t="shared" si="504"/>
        <v>SPS2</v>
      </c>
      <c r="C766" s="5" t="str">
        <f t="shared" si="511"/>
        <v>CH</v>
      </c>
      <c r="D766" t="s">
        <v>469</v>
      </c>
      <c r="E766" t="s">
        <v>8</v>
      </c>
      <c r="F766" s="1">
        <f>SUM(F769,F774)</f>
        <v>11.627937624110441</v>
      </c>
      <c r="G766" s="1">
        <f t="shared" ref="G766:K766" si="514">SUM(G769,G774)</f>
        <v>10.727149392819344</v>
      </c>
      <c r="H766" s="1">
        <f t="shared" si="514"/>
        <v>7.9679764313667283</v>
      </c>
      <c r="I766" s="1">
        <f t="shared" si="514"/>
        <v>6.4262499765798378</v>
      </c>
      <c r="J766" s="1">
        <f t="shared" si="514"/>
        <v>3.1057333043265865</v>
      </c>
      <c r="K766" s="1">
        <f t="shared" si="514"/>
        <v>0.23579733869122654</v>
      </c>
    </row>
    <row r="767" spans="2:13" x14ac:dyDescent="0.35">
      <c r="B767" s="5" t="str">
        <f t="shared" si="504"/>
        <v>SPS2</v>
      </c>
      <c r="C767" s="5" t="str">
        <f t="shared" si="511"/>
        <v>CH</v>
      </c>
      <c r="D767" t="s">
        <v>470</v>
      </c>
      <c r="E767" t="s">
        <v>8</v>
      </c>
      <c r="F767" s="1">
        <f>SUM(F771,F775)</f>
        <v>8.897896178708562</v>
      </c>
      <c r="G767" s="1">
        <f t="shared" ref="G767:K767" si="515">SUM(G771,G775)</f>
        <v>8.112118445267809</v>
      </c>
      <c r="H767" s="1">
        <f t="shared" si="515"/>
        <v>7.9570385084316237</v>
      </c>
      <c r="I767" s="1">
        <f t="shared" si="515"/>
        <v>6.4255993796438062</v>
      </c>
      <c r="J767" s="1">
        <f t="shared" si="515"/>
        <v>3.1047394755245863</v>
      </c>
      <c r="K767" s="1">
        <f t="shared" si="515"/>
        <v>0.23579733869122654</v>
      </c>
    </row>
    <row r="768" spans="2:13" x14ac:dyDescent="0.35">
      <c r="B768" s="5" t="str">
        <f t="shared" si="504"/>
        <v>SPS2</v>
      </c>
      <c r="C768" s="5" t="str">
        <f t="shared" si="511"/>
        <v>CH</v>
      </c>
      <c r="D768" t="s">
        <v>471</v>
      </c>
      <c r="E768" t="s">
        <v>8</v>
      </c>
      <c r="F768" s="1">
        <f>F773</f>
        <v>2.7300414454018789</v>
      </c>
      <c r="G768" s="1">
        <f t="shared" ref="G768:K768" si="516">G773</f>
        <v>2.6150309475515354</v>
      </c>
      <c r="H768" s="1">
        <f t="shared" si="516"/>
        <v>1.0937922935104583E-2</v>
      </c>
      <c r="I768" s="1">
        <f t="shared" si="516"/>
        <v>6.5059693603128485E-4</v>
      </c>
      <c r="J768" s="1">
        <f t="shared" si="516"/>
        <v>9.9382880200032117E-4</v>
      </c>
      <c r="K768" s="1">
        <f t="shared" si="516"/>
        <v>0</v>
      </c>
    </row>
    <row r="769" spans="2:11" x14ac:dyDescent="0.35">
      <c r="B769" s="5" t="str">
        <f t="shared" si="504"/>
        <v>SPS2</v>
      </c>
      <c r="C769" s="5" t="str">
        <f t="shared" si="511"/>
        <v>CH</v>
      </c>
      <c r="D769" t="s">
        <v>941</v>
      </c>
      <c r="E769" t="s">
        <v>8</v>
      </c>
      <c r="F769" s="1">
        <f>SUM(F770,F772)</f>
        <v>11.627937624110441</v>
      </c>
      <c r="G769" s="1">
        <f t="shared" ref="G769:K769" si="517">SUM(G770,G772)</f>
        <v>10.727149392819344</v>
      </c>
      <c r="H769" s="1">
        <f t="shared" si="517"/>
        <v>7.9677455205357095</v>
      </c>
      <c r="I769" s="1">
        <f t="shared" si="517"/>
        <v>6.2119832090172808</v>
      </c>
      <c r="J769" s="1">
        <f t="shared" si="517"/>
        <v>2.8699185377840091</v>
      </c>
      <c r="K769" s="1">
        <f t="shared" si="517"/>
        <v>1.7187575306368655E-5</v>
      </c>
    </row>
    <row r="770" spans="2:11" x14ac:dyDescent="0.35">
      <c r="B770" s="5" t="str">
        <f t="shared" si="504"/>
        <v>SPS2</v>
      </c>
      <c r="C770" s="5" t="str">
        <f t="shared" si="511"/>
        <v>CH</v>
      </c>
      <c r="D770" t="s">
        <v>525</v>
      </c>
      <c r="E770" t="s">
        <v>8</v>
      </c>
      <c r="F770" s="1">
        <f>[1]Industry!B$34</f>
        <v>8.897896178708562</v>
      </c>
      <c r="G770" s="1">
        <f>[1]Industry!C$34</f>
        <v>8.112118445267809</v>
      </c>
      <c r="H770" s="1">
        <f>[1]Industry!D$34</f>
        <v>7.956807597600605</v>
      </c>
      <c r="I770" s="1">
        <f>[1]Industry!E$34</f>
        <v>6.2113326120812493</v>
      </c>
      <c r="J770" s="1">
        <f>[1]Industry!F$34</f>
        <v>2.8689247089820089</v>
      </c>
      <c r="K770" s="1">
        <f>[1]Industry!G$34</f>
        <v>1.7187575306368655E-5</v>
      </c>
    </row>
    <row r="771" spans="2:11" x14ac:dyDescent="0.35">
      <c r="B771" s="5" t="str">
        <f t="shared" si="504"/>
        <v>SPS2</v>
      </c>
      <c r="C771" s="5" t="str">
        <f t="shared" si="511"/>
        <v>CH</v>
      </c>
      <c r="D771" t="s">
        <v>526</v>
      </c>
      <c r="E771" t="s">
        <v>8</v>
      </c>
      <c r="F771" s="1">
        <f>F770</f>
        <v>8.897896178708562</v>
      </c>
      <c r="G771" s="1">
        <f t="shared" ref="G771:K771" si="518">G770</f>
        <v>8.112118445267809</v>
      </c>
      <c r="H771" s="1">
        <f t="shared" si="518"/>
        <v>7.956807597600605</v>
      </c>
      <c r="I771" s="1">
        <f t="shared" si="518"/>
        <v>6.2113326120812493</v>
      </c>
      <c r="J771" s="1">
        <f t="shared" si="518"/>
        <v>2.8689247089820089</v>
      </c>
      <c r="K771" s="1">
        <f t="shared" si="518"/>
        <v>1.7187575306368655E-5</v>
      </c>
    </row>
    <row r="772" spans="2:11" x14ac:dyDescent="0.35">
      <c r="B772" s="5" t="str">
        <f t="shared" si="504"/>
        <v>SPS2</v>
      </c>
      <c r="C772" s="5" t="str">
        <f t="shared" si="511"/>
        <v>CH</v>
      </c>
      <c r="D772" t="s">
        <v>527</v>
      </c>
      <c r="E772" t="s">
        <v>8</v>
      </c>
      <c r="F772" s="1">
        <f>[1]Industry!B$35</f>
        <v>2.7300414454018789</v>
      </c>
      <c r="G772" s="1">
        <f>[1]Industry!C$35</f>
        <v>2.6150309475515354</v>
      </c>
      <c r="H772" s="1">
        <f>[1]Industry!D$35</f>
        <v>1.0937922935104583E-2</v>
      </c>
      <c r="I772" s="1">
        <f>[1]Industry!E$35</f>
        <v>6.5059693603128485E-4</v>
      </c>
      <c r="J772" s="1">
        <f>[1]Industry!F$35</f>
        <v>9.9382880200032117E-4</v>
      </c>
      <c r="K772" s="1">
        <f>[1]Industry!G$35</f>
        <v>0</v>
      </c>
    </row>
    <row r="773" spans="2:11" x14ac:dyDescent="0.35">
      <c r="B773" s="5" t="str">
        <f t="shared" si="504"/>
        <v>SPS2</v>
      </c>
      <c r="C773" s="5" t="str">
        <f t="shared" si="511"/>
        <v>CH</v>
      </c>
      <c r="D773" t="s">
        <v>944</v>
      </c>
      <c r="E773" t="s">
        <v>8</v>
      </c>
      <c r="F773" s="1">
        <f>F772</f>
        <v>2.7300414454018789</v>
      </c>
      <c r="G773" s="1">
        <f t="shared" ref="G773:K773" si="519">G772</f>
        <v>2.6150309475515354</v>
      </c>
      <c r="H773" s="1">
        <f t="shared" si="519"/>
        <v>1.0937922935104583E-2</v>
      </c>
      <c r="I773" s="1">
        <f t="shared" si="519"/>
        <v>6.5059693603128485E-4</v>
      </c>
      <c r="J773" s="1">
        <f t="shared" si="519"/>
        <v>9.9382880200032117E-4</v>
      </c>
      <c r="K773" s="1">
        <f t="shared" si="519"/>
        <v>0</v>
      </c>
    </row>
    <row r="774" spans="2:11" x14ac:dyDescent="0.35">
      <c r="B774" s="5" t="str">
        <f t="shared" si="504"/>
        <v>SPS2</v>
      </c>
      <c r="C774" s="5" t="str">
        <f t="shared" si="511"/>
        <v>CH</v>
      </c>
      <c r="D774" t="s">
        <v>942</v>
      </c>
      <c r="E774" t="s">
        <v>8</v>
      </c>
      <c r="F774" s="1">
        <f>[1]Industry!B$36</f>
        <v>0</v>
      </c>
      <c r="G774" s="1">
        <f>[1]Industry!C$36</f>
        <v>0</v>
      </c>
      <c r="H774" s="1">
        <f>[1]Industry!D$36</f>
        <v>2.3091083101842166E-4</v>
      </c>
      <c r="I774" s="1">
        <f>[1]Industry!E$36</f>
        <v>0.21426676756255703</v>
      </c>
      <c r="J774" s="1">
        <f>[1]Industry!F$36</f>
        <v>0.2358147665425773</v>
      </c>
      <c r="K774" s="1">
        <f>[1]Industry!G$36</f>
        <v>0.23578015111592018</v>
      </c>
    </row>
    <row r="775" spans="2:11" x14ac:dyDescent="0.35">
      <c r="B775" s="5" t="str">
        <f t="shared" si="504"/>
        <v>SPS2</v>
      </c>
      <c r="C775" s="5" t="str">
        <f t="shared" si="511"/>
        <v>CH</v>
      </c>
      <c r="D775" t="s">
        <v>943</v>
      </c>
      <c r="E775" t="s">
        <v>8</v>
      </c>
      <c r="F775" s="1">
        <f>F774</f>
        <v>0</v>
      </c>
      <c r="G775" s="1">
        <f t="shared" ref="G775:K775" si="520">G774</f>
        <v>0</v>
      </c>
      <c r="H775" s="1">
        <f t="shared" si="520"/>
        <v>2.3091083101842166E-4</v>
      </c>
      <c r="I775" s="1">
        <f t="shared" si="520"/>
        <v>0.21426676756255703</v>
      </c>
      <c r="J775" s="1">
        <f t="shared" si="520"/>
        <v>0.2358147665425773</v>
      </c>
      <c r="K775" s="1">
        <f t="shared" si="520"/>
        <v>0.23578015111592018</v>
      </c>
    </row>
    <row r="776" spans="2:11" x14ac:dyDescent="0.35">
      <c r="B776" s="5" t="str">
        <f t="shared" si="504"/>
        <v>SPS2</v>
      </c>
      <c r="C776" s="5" t="str">
        <f t="shared" ref="C776:C777" si="521">C775</f>
        <v>CH</v>
      </c>
      <c r="D776" t="s">
        <v>472</v>
      </c>
      <c r="E776" t="s">
        <v>8</v>
      </c>
      <c r="F776" s="1">
        <f>SUM([1]Industry!B$37:B$39)</f>
        <v>35.989178875074671</v>
      </c>
      <c r="G776" s="1">
        <f>SUM([1]Industry!C$37:C$39)</f>
        <v>30.317245020733555</v>
      </c>
      <c r="H776" s="1">
        <f>SUM([1]Industry!D$37:D$39)</f>
        <v>30.96696293088867</v>
      </c>
      <c r="I776" s="1">
        <f>SUM([1]Industry!E$37:E$39)</f>
        <v>24.133124863600418</v>
      </c>
      <c r="J776" s="1">
        <f>SUM([1]Industry!F$37:F$39)</f>
        <v>6.0029549526366974</v>
      </c>
      <c r="K776" s="1">
        <f>SUM([1]Industry!G$37:G$39)</f>
        <v>4.0229846658159056</v>
      </c>
    </row>
    <row r="777" spans="2:11" x14ac:dyDescent="0.35">
      <c r="B777" s="5" t="str">
        <f t="shared" si="504"/>
        <v>SPS2</v>
      </c>
      <c r="C777" s="5" t="str">
        <f t="shared" si="521"/>
        <v>CH</v>
      </c>
      <c r="D777" t="s">
        <v>678</v>
      </c>
      <c r="E777" t="s">
        <v>8</v>
      </c>
      <c r="F777" s="1">
        <f>SUM([1]Industry!B$37:B$38)-F778</f>
        <v>35.545771909698828</v>
      </c>
      <c r="G777" s="1">
        <f>SUM([1]Industry!C$37:C$38)-G778</f>
        <v>29.758789832942572</v>
      </c>
      <c r="H777" s="1">
        <f>SUM([1]Industry!D$37:D$38)-H778</f>
        <v>29.309966782183853</v>
      </c>
      <c r="I777" s="1">
        <f>SUM([1]Industry!E$37:E$38)-I778</f>
        <v>22.044949421374127</v>
      </c>
      <c r="J777" s="1">
        <f>SUM([1]Industry!F$37:F$38)-J778</f>
        <v>3.9145727063716089</v>
      </c>
      <c r="K777" s="1">
        <f>SUM([1]Industry!G$37:G$38)-K778</f>
        <v>1.9345729089543646</v>
      </c>
    </row>
    <row r="778" spans="2:11" x14ac:dyDescent="0.35">
      <c r="B778" s="5" t="str">
        <f t="shared" si="504"/>
        <v>SPS2</v>
      </c>
      <c r="C778" s="5" t="str">
        <f t="shared" ref="C778" si="522">C777</f>
        <v>CH</v>
      </c>
      <c r="D778" t="s">
        <v>722</v>
      </c>
      <c r="E778" t="s">
        <v>8</v>
      </c>
      <c r="F778" s="1" cm="1">
        <f t="array" ref="F778">SUMPRODUCT(([1]OUT_FinalEnergyCons!$B$4:$B$10000="Var_Fin")*1,  ([1]OUT_FinalEnergyCons!$C$4:$C$10000="Inga")*1,(ISNUMBER(SEARCH("ITOT-SWHNGAHP",[1]OUT_FinalEnergyCons!$A$4:$A$10000)))*1,[1]OUT_FinalEnergyCons!H$4:H$10000)</f>
        <v>6.6040314717685945E-3</v>
      </c>
      <c r="G778" s="1" cm="1">
        <f t="array" ref="G778">SUMPRODUCT(([1]OUT_FinalEnergyCons!$B$4:$B$10000="Var_Fin")*1,  ([1]OUT_FinalEnergyCons!$C$4:$C$10000="Inga")*1,(ISNUMBER(SEARCH("ITOT-SWHNGAHP",[1]OUT_FinalEnergyCons!$A$4:$A$10000)))*1,[1]OUT_FinalEnergyCons!I$4:I$10000)</f>
        <v>6.3707091721344452E-3</v>
      </c>
      <c r="H778" s="1" cm="1">
        <f t="array" ref="H778">SUMPRODUCT(([1]OUT_FinalEnergyCons!$B$4:$B$10000="Var_Fin")*1,  ([1]OUT_FinalEnergyCons!$C$4:$C$10000="Inga")*1,(ISNUMBER(SEARCH("ITOT-SWHNGAHP",[1]OUT_FinalEnergyCons!$A$4:$A$10000)))*1,[1]OUT_FinalEnergyCons!J$4:J$10000)</f>
        <v>0</v>
      </c>
      <c r="I778" s="1" cm="1">
        <f t="array" ref="I778">SUMPRODUCT(([1]OUT_FinalEnergyCons!$B$4:$B$10000="Var_Fin")*1,  ([1]OUT_FinalEnergyCons!$C$4:$C$10000="Inga")*1,(ISNUMBER(SEARCH("ITOT-SWHNGAHP",[1]OUT_FinalEnergyCons!$A$4:$A$10000)))*1,[1]OUT_FinalEnergyCons!K$4:K$10000)</f>
        <v>0</v>
      </c>
      <c r="J778" s="1" cm="1">
        <f t="array" ref="J778">SUMPRODUCT(([1]OUT_FinalEnergyCons!$B$4:$B$10000="Var_Fin")*1,  ([1]OUT_FinalEnergyCons!$C$4:$C$10000="Inga")*1,(ISNUMBER(SEARCH("ITOT-SWHNGAHP",[1]OUT_FinalEnergyCons!$A$4:$A$10000)))*1,[1]OUT_FinalEnergyCons!L$4:L$10000)</f>
        <v>0</v>
      </c>
      <c r="K778" s="1" cm="1">
        <f t="array" ref="K778">SUMPRODUCT(([1]OUT_FinalEnergyCons!$B$4:$B$10000="Var_Fin")*1,  ([1]OUT_FinalEnergyCons!$C$4:$C$10000="Inga")*1,(ISNUMBER(SEARCH("ITOT-SWHNGAHP",[1]OUT_FinalEnergyCons!$A$4:$A$10000)))*1,[1]OUT_FinalEnergyCons!M$4:M$10000)</f>
        <v>0</v>
      </c>
    </row>
    <row r="779" spans="2:11" x14ac:dyDescent="0.35">
      <c r="B779" s="5" t="str">
        <f t="shared" si="504"/>
        <v>SPS2</v>
      </c>
      <c r="C779" s="5" t="str">
        <f>C777</f>
        <v>CH</v>
      </c>
      <c r="D779" t="s">
        <v>473</v>
      </c>
      <c r="E779" t="s">
        <v>8</v>
      </c>
      <c r="F779" s="1">
        <f t="shared" ref="F779:K779" si="523">F776-F777</f>
        <v>0.44340696537584279</v>
      </c>
      <c r="G779" s="1">
        <f t="shared" si="523"/>
        <v>0.55845518779098313</v>
      </c>
      <c r="H779" s="1">
        <f t="shared" si="523"/>
        <v>1.6569961487048168</v>
      </c>
      <c r="I779" s="1">
        <f t="shared" si="523"/>
        <v>2.0881754422262908</v>
      </c>
      <c r="J779" s="1">
        <f t="shared" si="523"/>
        <v>2.0883822462650885</v>
      </c>
      <c r="K779" s="1">
        <f t="shared" si="523"/>
        <v>2.0884117568615412</v>
      </c>
    </row>
    <row r="780" spans="2:11" x14ac:dyDescent="0.35">
      <c r="B780" s="5" t="str">
        <f t="shared" si="504"/>
        <v>SPS2</v>
      </c>
      <c r="C780" s="5" t="str">
        <f t="shared" ref="C780:C788" si="524">C779</f>
        <v>CH</v>
      </c>
      <c r="D780" t="s">
        <v>945</v>
      </c>
      <c r="E780" t="s">
        <v>8</v>
      </c>
      <c r="F780" s="1">
        <f>[1]Industry!B$37</f>
        <v>35.243022427293198</v>
      </c>
      <c r="G780" s="1">
        <f>[1]Industry!C$37</f>
        <v>29.764471600545164</v>
      </c>
      <c r="H780" s="1">
        <f>[1]Industry!D$37</f>
        <v>28.222673383661729</v>
      </c>
      <c r="I780" s="1">
        <f>[1]Industry!E$37</f>
        <v>19.621335078241643</v>
      </c>
      <c r="J780" s="1">
        <f>[1]Industry!F$37</f>
        <v>2.3006341436315489</v>
      </c>
      <c r="K780" s="1">
        <f>[1]Industry!G$37</f>
        <v>0.74327608866214967</v>
      </c>
    </row>
    <row r="781" spans="2:11" x14ac:dyDescent="0.35">
      <c r="B781" s="5" t="str">
        <f t="shared" si="504"/>
        <v>SPS2</v>
      </c>
      <c r="C781" s="5" t="str">
        <f t="shared" si="524"/>
        <v>CH</v>
      </c>
      <c r="D781" t="s">
        <v>679</v>
      </c>
      <c r="E781" t="s">
        <v>8</v>
      </c>
      <c r="F781" s="1">
        <f>[1]Industry!B$37*F777/SUM(F777:F778)</f>
        <v>35.236475859782345</v>
      </c>
      <c r="G781" s="1">
        <f>[1]Industry!C$37*G777/SUM(G777:G778)</f>
        <v>29.758101038828855</v>
      </c>
      <c r="H781" s="1">
        <f>[1]Industry!D$37*H777/SUM(H777:H778)</f>
        <v>28.222673383661729</v>
      </c>
      <c r="I781" s="1">
        <f>[1]Industry!E$37*I777/SUM(I777:I778)</f>
        <v>19.621335078241643</v>
      </c>
      <c r="J781" s="1">
        <f>[1]Industry!F$37*J777/SUM(J777:J778)</f>
        <v>2.3006341436315489</v>
      </c>
      <c r="K781" s="1">
        <f>[1]Industry!G$37*K777/SUM(K777:K778)</f>
        <v>0.74327608866214967</v>
      </c>
    </row>
    <row r="782" spans="2:11" x14ac:dyDescent="0.35">
      <c r="B782" s="5" t="str">
        <f t="shared" si="504"/>
        <v>SPS2</v>
      </c>
      <c r="C782" s="5" t="str">
        <f t="shared" ref="C782" si="525">C781</f>
        <v>CH</v>
      </c>
      <c r="D782" t="s">
        <v>723</v>
      </c>
      <c r="E782" t="s">
        <v>8</v>
      </c>
      <c r="F782" s="1">
        <f>F780-F781</f>
        <v>6.5465675108526966E-3</v>
      </c>
      <c r="G782" s="1">
        <f t="shared" ref="G782:K782" si="526">G780-G781</f>
        <v>6.370561716309453E-3</v>
      </c>
      <c r="H782" s="1">
        <f t="shared" si="526"/>
        <v>0</v>
      </c>
      <c r="I782" s="1">
        <f t="shared" si="526"/>
        <v>0</v>
      </c>
      <c r="J782" s="1">
        <f t="shared" si="526"/>
        <v>0</v>
      </c>
      <c r="K782" s="1">
        <f t="shared" si="526"/>
        <v>0</v>
      </c>
    </row>
    <row r="783" spans="2:11" x14ac:dyDescent="0.35">
      <c r="B783" s="5" t="str">
        <f t="shared" si="504"/>
        <v>SPS2</v>
      </c>
      <c r="C783" s="5" t="str">
        <f>C781</f>
        <v>CH</v>
      </c>
      <c r="D783" t="s">
        <v>946</v>
      </c>
      <c r="E783" t="s">
        <v>8</v>
      </c>
      <c r="F783" s="1">
        <f>SUM(F784:F786)</f>
        <v>0.74615644778147328</v>
      </c>
      <c r="G783" s="1">
        <f t="shared" ref="G783:K783" si="527">SUM(G784:G786)</f>
        <v>0.55277342018839171</v>
      </c>
      <c r="H783" s="1">
        <f t="shared" si="527"/>
        <v>2.7442895472269413</v>
      </c>
      <c r="I783" s="1">
        <f t="shared" si="527"/>
        <v>4.5117897853587738</v>
      </c>
      <c r="J783" s="1">
        <f t="shared" si="527"/>
        <v>3.7023208090051485</v>
      </c>
      <c r="K783" s="1">
        <f t="shared" si="527"/>
        <v>3.2797085771537562</v>
      </c>
    </row>
    <row r="784" spans="2:11" x14ac:dyDescent="0.35">
      <c r="B784" s="5" t="str">
        <f t="shared" si="504"/>
        <v>SPS2</v>
      </c>
      <c r="C784" s="5" t="str">
        <f t="shared" si="524"/>
        <v>CH</v>
      </c>
      <c r="D784" t="s">
        <v>680</v>
      </c>
      <c r="E784" t="s">
        <v>8</v>
      </c>
      <c r="F784" s="1">
        <f>[1]Industry!B$38*F777/SUM(F777:F778)</f>
        <v>0.30929604991647974</v>
      </c>
      <c r="G784" s="1">
        <f>[1]Industry!C$38*G777/SUM(G777:G778)</f>
        <v>6.8879411371442639E-4</v>
      </c>
      <c r="H784" s="1">
        <f>[1]Industry!D$38*H777/SUM(H777:H778)</f>
        <v>1.0872933985221229</v>
      </c>
      <c r="I784" s="1">
        <f>[1]Industry!E$38*I777/SUM(I777:I778)</f>
        <v>2.4236143431324835</v>
      </c>
      <c r="J784" s="1">
        <f>[1]Industry!F$38*J777/SUM(J777:J778)</f>
        <v>1.6139385627400598</v>
      </c>
      <c r="K784" s="1">
        <f>[1]Industry!G$38*K777/SUM(K777:K778)</f>
        <v>1.191296820292215</v>
      </c>
    </row>
    <row r="785" spans="2:13" x14ac:dyDescent="0.35">
      <c r="B785" s="5" t="str">
        <f t="shared" si="504"/>
        <v>SPS2</v>
      </c>
      <c r="C785" s="5" t="str">
        <f t="shared" ref="C785" si="528">C784</f>
        <v>CH</v>
      </c>
      <c r="D785" t="s">
        <v>724</v>
      </c>
      <c r="E785" t="s">
        <v>8</v>
      </c>
      <c r="F785" s="1">
        <f>[1]Industry!B$38-F784</f>
        <v>5.7463960915826728E-5</v>
      </c>
      <c r="G785" s="1">
        <f>[1]Industry!C$38-G784</f>
        <v>1.4745582742402112E-7</v>
      </c>
      <c r="H785" s="1">
        <f>[1]Industry!D$38-H784</f>
        <v>0</v>
      </c>
      <c r="I785" s="1">
        <f>[1]Industry!E$38-I784</f>
        <v>0</v>
      </c>
      <c r="J785" s="1">
        <f>[1]Industry!F$38-J784</f>
        <v>0</v>
      </c>
      <c r="K785" s="1">
        <f>[1]Industry!G$38-K784</f>
        <v>0</v>
      </c>
    </row>
    <row r="786" spans="2:13" x14ac:dyDescent="0.35">
      <c r="B786" s="5" t="str">
        <f t="shared" si="504"/>
        <v>SPS2</v>
      </c>
      <c r="C786" s="5" t="str">
        <f>C784</f>
        <v>CH</v>
      </c>
      <c r="D786" t="s">
        <v>672</v>
      </c>
      <c r="E786" t="s">
        <v>8</v>
      </c>
      <c r="F786" s="1">
        <f>[1]Industry!B$39</f>
        <v>0.43680293390407765</v>
      </c>
      <c r="G786" s="1">
        <f>[1]Industry!C$39</f>
        <v>0.55208447861884991</v>
      </c>
      <c r="H786" s="1">
        <f>[1]Industry!D$39</f>
        <v>1.6569961487048186</v>
      </c>
      <c r="I786" s="1">
        <f>[1]Industry!E$39</f>
        <v>2.0881754422262904</v>
      </c>
      <c r="J786" s="1">
        <f>[1]Industry!F$39</f>
        <v>2.0883822462650889</v>
      </c>
      <c r="K786" s="1">
        <f>[1]Industry!G$39</f>
        <v>2.0884117568615412</v>
      </c>
    </row>
    <row r="787" spans="2:13" x14ac:dyDescent="0.35">
      <c r="B787" s="5" t="str">
        <f t="shared" si="504"/>
        <v>SPS2</v>
      </c>
      <c r="C787" s="5" t="str">
        <f t="shared" si="524"/>
        <v>CH</v>
      </c>
      <c r="D787" t="s">
        <v>947</v>
      </c>
      <c r="E787" t="s">
        <v>8</v>
      </c>
      <c r="F787" s="1">
        <f>[1]Industry!B$18</f>
        <v>3.560084694924718</v>
      </c>
      <c r="G787" s="1">
        <f>[1]Industry!C$18</f>
        <v>3.4647372887981449</v>
      </c>
      <c r="H787" s="1">
        <f>[1]Industry!D$18</f>
        <v>3.2185923772086182</v>
      </c>
      <c r="I787" s="1">
        <f>[1]Industry!E$18</f>
        <v>6.4833666496820312E-4</v>
      </c>
      <c r="J787" s="1">
        <f>[1]Industry!F$18</f>
        <v>1.0123174128948299E-3</v>
      </c>
      <c r="K787" s="1">
        <f>[1]Industry!G$18</f>
        <v>2.4086008422096807E-5</v>
      </c>
    </row>
    <row r="788" spans="2:13" x14ac:dyDescent="0.35">
      <c r="B788" s="5" t="str">
        <f t="shared" si="504"/>
        <v>SPS2</v>
      </c>
      <c r="C788" s="5" t="str">
        <f t="shared" si="524"/>
        <v>CH</v>
      </c>
      <c r="D788" t="s">
        <v>948</v>
      </c>
      <c r="E788" t="s">
        <v>8</v>
      </c>
      <c r="F788" s="1">
        <f>F787</f>
        <v>3.560084694924718</v>
      </c>
      <c r="G788" s="1">
        <f t="shared" ref="G788:K788" si="529">G787</f>
        <v>3.4647372887981449</v>
      </c>
      <c r="H788" s="1">
        <f t="shared" si="529"/>
        <v>3.2185923772086182</v>
      </c>
      <c r="I788" s="1">
        <f t="shared" si="529"/>
        <v>6.4833666496820312E-4</v>
      </c>
      <c r="J788" s="1">
        <f t="shared" si="529"/>
        <v>1.0123174128948299E-3</v>
      </c>
      <c r="K788" s="1">
        <f t="shared" si="529"/>
        <v>2.4086008422096807E-5</v>
      </c>
    </row>
    <row r="789" spans="2:13" x14ac:dyDescent="0.35">
      <c r="B789" s="5" t="str">
        <f t="shared" si="504"/>
        <v>SPS2</v>
      </c>
      <c r="C789" s="5" t="str">
        <f t="shared" ref="C789:C790" si="530">C788</f>
        <v>CH</v>
      </c>
      <c r="D789" t="s">
        <v>949</v>
      </c>
      <c r="E789" t="s">
        <v>8</v>
      </c>
      <c r="F789" s="1">
        <f>[1]Industry!B$19</f>
        <v>12.728695378577054</v>
      </c>
      <c r="G789" s="1">
        <f>[1]Industry!C$19</f>
        <v>13.638445452085186</v>
      </c>
      <c r="H789" s="1">
        <f>[1]Industry!D$19</f>
        <v>13.447829749894602</v>
      </c>
      <c r="I789" s="1">
        <f>[1]Industry!E$19</f>
        <v>15.16913797296368</v>
      </c>
      <c r="J789" s="1">
        <f>[1]Industry!F$19</f>
        <v>15.132343975263366</v>
      </c>
      <c r="K789" s="1">
        <f>[1]Industry!G$19</f>
        <v>21.050075670178398</v>
      </c>
    </row>
    <row r="790" spans="2:13" x14ac:dyDescent="0.35">
      <c r="B790" s="5" t="str">
        <f t="shared" si="504"/>
        <v>SPS2</v>
      </c>
      <c r="C790" s="5" t="str">
        <f t="shared" si="530"/>
        <v>CH</v>
      </c>
      <c r="D790" t="s">
        <v>950</v>
      </c>
      <c r="E790" t="s">
        <v>8</v>
      </c>
      <c r="F790" s="1">
        <f>SUM(F791:F799)</f>
        <v>4.3074955374423434</v>
      </c>
      <c r="G790" s="1">
        <f t="shared" ref="G790:K790" si="531">SUM(G791:G799)</f>
        <v>5.8692209532570052</v>
      </c>
      <c r="H790" s="1">
        <f t="shared" si="531"/>
        <v>6.0510649445169307</v>
      </c>
      <c r="I790" s="1">
        <f t="shared" si="531"/>
        <v>7.4299036380917194</v>
      </c>
      <c r="J790" s="1">
        <f t="shared" si="531"/>
        <v>8.4876543788149981</v>
      </c>
      <c r="K790" s="1">
        <f t="shared" si="531"/>
        <v>12.525640094076113</v>
      </c>
      <c r="M790" s="1"/>
    </row>
    <row r="791" spans="2:13" x14ac:dyDescent="0.35">
      <c r="B791" s="5" t="str">
        <f t="shared" si="504"/>
        <v>SPS2</v>
      </c>
      <c r="C791" s="5" t="str">
        <f t="shared" ref="C791:C808" si="532">C790</f>
        <v>CH</v>
      </c>
      <c r="D791" t="s">
        <v>481</v>
      </c>
      <c r="E791" t="s">
        <v>8</v>
      </c>
      <c r="F791" s="1">
        <f>F233</f>
        <v>0.92963962879335293</v>
      </c>
      <c r="G791" s="1">
        <f t="shared" ref="G791:K791" si="533">G233</f>
        <v>2.0475195887951205</v>
      </c>
      <c r="H791" s="1">
        <f t="shared" si="533"/>
        <v>0.10363415971910069</v>
      </c>
      <c r="I791" s="1">
        <f t="shared" si="533"/>
        <v>1.3098492239126671</v>
      </c>
      <c r="J791" s="1">
        <f t="shared" si="533"/>
        <v>0</v>
      </c>
      <c r="K791" s="1">
        <f t="shared" si="533"/>
        <v>0</v>
      </c>
    </row>
    <row r="792" spans="2:13" x14ac:dyDescent="0.35">
      <c r="B792" s="5" t="str">
        <f t="shared" si="504"/>
        <v>SPS2</v>
      </c>
      <c r="C792" s="5" t="str">
        <f t="shared" si="532"/>
        <v>CH</v>
      </c>
      <c r="D792" t="s">
        <v>482</v>
      </c>
      <c r="E792" t="s">
        <v>8</v>
      </c>
      <c r="F792" s="1">
        <f>F239</f>
        <v>0.78317709393124468</v>
      </c>
      <c r="G792" s="1">
        <f t="shared" ref="G792:K792" si="534">G239</f>
        <v>9.1841253735400086E-2</v>
      </c>
      <c r="H792" s="1">
        <f t="shared" si="534"/>
        <v>6.3888900812052812E-2</v>
      </c>
      <c r="I792" s="1">
        <f t="shared" si="534"/>
        <v>2.7109695917210453E-2</v>
      </c>
      <c r="J792" s="1">
        <f t="shared" si="534"/>
        <v>0.74619012189709255</v>
      </c>
      <c r="K792" s="1">
        <f t="shared" si="534"/>
        <v>0.46830857685481686</v>
      </c>
    </row>
    <row r="793" spans="2:13" x14ac:dyDescent="0.35">
      <c r="B793" s="5" t="str">
        <f t="shared" si="504"/>
        <v>SPS2</v>
      </c>
      <c r="C793" s="5" t="str">
        <f t="shared" si="532"/>
        <v>CH</v>
      </c>
      <c r="D793" t="s">
        <v>483</v>
      </c>
      <c r="E793" t="s">
        <v>8</v>
      </c>
      <c r="F793" s="1">
        <f>F240</f>
        <v>0</v>
      </c>
      <c r="G793" s="1">
        <f t="shared" ref="G793:K793" si="535">G240</f>
        <v>0</v>
      </c>
      <c r="H793" s="1">
        <f t="shared" si="535"/>
        <v>0</v>
      </c>
      <c r="I793" s="1">
        <f t="shared" si="535"/>
        <v>0</v>
      </c>
      <c r="J793" s="1">
        <f t="shared" si="535"/>
        <v>2.8043529536694364E-3</v>
      </c>
      <c r="K793" s="1">
        <f t="shared" si="535"/>
        <v>0.27083990347838416</v>
      </c>
    </row>
    <row r="794" spans="2:13" x14ac:dyDescent="0.35">
      <c r="B794" s="5" t="str">
        <f t="shared" si="504"/>
        <v>SPS2</v>
      </c>
      <c r="C794" s="5" t="str">
        <f t="shared" si="532"/>
        <v>CH</v>
      </c>
      <c r="D794" t="s">
        <v>484</v>
      </c>
      <c r="E794" t="s">
        <v>8</v>
      </c>
      <c r="F794" s="1">
        <f>F241</f>
        <v>0</v>
      </c>
      <c r="G794" s="1">
        <f t="shared" ref="G794:K794" si="536">G241</f>
        <v>0</v>
      </c>
      <c r="H794" s="1">
        <f t="shared" si="536"/>
        <v>0</v>
      </c>
      <c r="I794" s="1">
        <f t="shared" si="536"/>
        <v>0</v>
      </c>
      <c r="J794" s="1">
        <f t="shared" si="536"/>
        <v>3.918148791547644E-3</v>
      </c>
      <c r="K794" s="1">
        <f t="shared" si="536"/>
        <v>5.2022878159304405E-4</v>
      </c>
    </row>
    <row r="795" spans="2:13" x14ac:dyDescent="0.35">
      <c r="B795" s="5" t="str">
        <f t="shared" si="504"/>
        <v>SPS2</v>
      </c>
      <c r="C795" s="5" t="str">
        <f t="shared" si="532"/>
        <v>CH</v>
      </c>
      <c r="D795" t="s">
        <v>485</v>
      </c>
      <c r="E795" t="s">
        <v>8</v>
      </c>
      <c r="F795" s="1">
        <f>F272</f>
        <v>1.9349823650994484</v>
      </c>
      <c r="G795" s="1">
        <f t="shared" ref="G795:K795" si="537">G272</f>
        <v>1.9462973256983322</v>
      </c>
      <c r="H795" s="1">
        <f t="shared" si="537"/>
        <v>2.5503239676239566</v>
      </c>
      <c r="I795" s="1">
        <f t="shared" si="537"/>
        <v>2.4035966394998383</v>
      </c>
      <c r="J795" s="1">
        <f t="shared" si="537"/>
        <v>1.5323042464467826</v>
      </c>
      <c r="K795" s="1">
        <f t="shared" si="537"/>
        <v>3.5492607876941307E-4</v>
      </c>
    </row>
    <row r="796" spans="2:13" x14ac:dyDescent="0.35">
      <c r="B796" s="5" t="str">
        <f t="shared" si="504"/>
        <v>SPS2</v>
      </c>
      <c r="C796" s="5" t="str">
        <f t="shared" si="532"/>
        <v>CH</v>
      </c>
      <c r="D796" t="s">
        <v>486</v>
      </c>
      <c r="E796" t="s">
        <v>8</v>
      </c>
      <c r="F796" s="1">
        <f>F273</f>
        <v>0</v>
      </c>
      <c r="G796" s="1">
        <f t="shared" ref="G796:K796" si="538">G273</f>
        <v>0</v>
      </c>
      <c r="H796" s="1">
        <f t="shared" si="538"/>
        <v>0</v>
      </c>
      <c r="I796" s="1">
        <f t="shared" si="538"/>
        <v>0</v>
      </c>
      <c r="J796" s="1">
        <f t="shared" si="538"/>
        <v>0.2295112515397657</v>
      </c>
      <c r="K796" s="1">
        <f t="shared" si="538"/>
        <v>2.2156049286133235</v>
      </c>
    </row>
    <row r="797" spans="2:13" x14ac:dyDescent="0.35">
      <c r="B797" s="5" t="str">
        <f t="shared" si="504"/>
        <v>SPS2</v>
      </c>
      <c r="C797" s="5" t="str">
        <f t="shared" si="532"/>
        <v>CH</v>
      </c>
      <c r="D797" t="s">
        <v>487</v>
      </c>
      <c r="E797" t="s">
        <v>8</v>
      </c>
      <c r="F797" s="1">
        <f>F281</f>
        <v>0.65969644961829754</v>
      </c>
      <c r="G797" s="1">
        <f t="shared" ref="G797:K797" si="539">G281</f>
        <v>1.7835627850281515</v>
      </c>
      <c r="H797" s="1">
        <f t="shared" si="539"/>
        <v>3.3332179163618205</v>
      </c>
      <c r="I797" s="1">
        <f t="shared" si="539"/>
        <v>3.6893480787620043</v>
      </c>
      <c r="J797" s="1">
        <f t="shared" si="539"/>
        <v>1.8223826489028969</v>
      </c>
      <c r="K797" s="1">
        <f t="shared" si="539"/>
        <v>0.73401353434826078</v>
      </c>
    </row>
    <row r="798" spans="2:13" x14ac:dyDescent="0.35">
      <c r="B798" s="5" t="str">
        <f t="shared" si="504"/>
        <v>SPS2</v>
      </c>
      <c r="C798" s="5" t="str">
        <f t="shared" si="532"/>
        <v>CH</v>
      </c>
      <c r="D798" t="s">
        <v>488</v>
      </c>
      <c r="E798" t="s">
        <v>8</v>
      </c>
      <c r="F798" s="1">
        <f>F282</f>
        <v>0</v>
      </c>
      <c r="G798" s="1">
        <f t="shared" ref="G798:K798" si="540">G282</f>
        <v>0</v>
      </c>
      <c r="H798" s="1">
        <f t="shared" si="540"/>
        <v>0</v>
      </c>
      <c r="I798" s="1">
        <f t="shared" si="540"/>
        <v>0</v>
      </c>
      <c r="J798" s="1">
        <f t="shared" si="540"/>
        <v>3.9980544461505003</v>
      </c>
      <c r="K798" s="1">
        <f t="shared" si="540"/>
        <v>8.7354382012071774</v>
      </c>
    </row>
    <row r="799" spans="2:13" x14ac:dyDescent="0.35">
      <c r="B799" s="5" t="str">
        <f t="shared" si="504"/>
        <v>SPS2</v>
      </c>
      <c r="C799" s="5" t="str">
        <f t="shared" si="532"/>
        <v>CH</v>
      </c>
      <c r="D799" t="s">
        <v>489</v>
      </c>
      <c r="E799" t="s">
        <v>8</v>
      </c>
      <c r="F799" s="1">
        <f>F287</f>
        <v>0</v>
      </c>
      <c r="G799" s="1">
        <f t="shared" ref="G799:K799" si="541">G287</f>
        <v>0</v>
      </c>
      <c r="H799" s="1">
        <f t="shared" si="541"/>
        <v>0</v>
      </c>
      <c r="I799" s="1">
        <f t="shared" si="541"/>
        <v>0</v>
      </c>
      <c r="J799" s="1">
        <f t="shared" si="541"/>
        <v>0.15248916213274136</v>
      </c>
      <c r="K799" s="1">
        <f t="shared" si="541"/>
        <v>0.1005597947137882</v>
      </c>
      <c r="M799" s="1"/>
    </row>
    <row r="800" spans="2:13" x14ac:dyDescent="0.35">
      <c r="B800" s="5" t="str">
        <f t="shared" si="504"/>
        <v>SPS2</v>
      </c>
      <c r="C800" s="5" t="str">
        <f t="shared" si="532"/>
        <v>CH</v>
      </c>
      <c r="D800" t="s">
        <v>951</v>
      </c>
      <c r="E800" t="s">
        <v>8</v>
      </c>
      <c r="F800" s="1" cm="1">
        <f t="array" ref="F800">SUMPRODUCT(([1]OUT_FinalEnergyCons!$B$4:$B$10000="Var_Fin")*1, ([1]OUT_FinalEnergyCons!$C$4:$C$10000="ITOT_LTH_DH")*1, (ISNUMBER(SEARCH("ITOT-SWHLTHDH",[1]OUT_FinalEnergyCons!$A$4:$A$10000)))*1,[1]OUT_FinalEnergyCons!D$4:D$10000)</f>
        <v>7.1200281690851011</v>
      </c>
      <c r="G800" s="1" cm="1">
        <f t="array" ref="G800">SUMPRODUCT(([1]OUT_FinalEnergyCons!$B$4:$B$10000="Var_Fin")*1, ([1]OUT_FinalEnergyCons!$C$4:$C$10000="ITOT_LTH_DH")*1, (ISNUMBER(SEARCH("ITOT-SWHLTHDH",[1]OUT_FinalEnergyCons!$A$4:$A$10000)))*1,[1]OUT_FinalEnergyCons!E$4:E$10000)</f>
        <v>7.6289125416766659</v>
      </c>
      <c r="H800" s="1" cm="1">
        <f t="array" ref="H800">SUMPRODUCT(([1]OUT_FinalEnergyCons!$B$4:$B$10000="Var_Fin")*1, ([1]OUT_FinalEnergyCons!$C$4:$C$10000="ITOT_LTH_DH")*1, (ISNUMBER(SEARCH("ITOT-SWHLTHDH",[1]OUT_FinalEnergyCons!$A$4:$A$10000)))*1,[1]OUT_FinalEnergyCons!F$4:F$10000)</f>
        <v>7.3518815578640213</v>
      </c>
      <c r="I800" s="1" cm="1">
        <f t="array" ref="I800">SUMPRODUCT(([1]OUT_FinalEnergyCons!$B$4:$B$10000="Var_Fin")*1, ([1]OUT_FinalEnergyCons!$C$4:$C$10000="ITOT_LTH_DH")*1, (ISNUMBER(SEARCH("ITOT-SWHLTHDH",[1]OUT_FinalEnergyCons!$A$4:$A$10000)))*1,[1]OUT_FinalEnergyCons!G$4:G$10000)</f>
        <v>7.7153628548535256</v>
      </c>
      <c r="J800" s="1" cm="1">
        <f t="array" ref="J800">SUMPRODUCT(([1]OUT_FinalEnergyCons!$B$4:$B$10000="Var_Fin")*1, ([1]OUT_FinalEnergyCons!$C$4:$C$10000="ITOT_LTH_DH")*1, (ISNUMBER(SEARCH("ITOT-SWHLTHDH",[1]OUT_FinalEnergyCons!$A$4:$A$10000)))*1,[1]OUT_FinalEnergyCons!H$4:H$10000)</f>
        <v>6.668320049494187</v>
      </c>
      <c r="K800" s="1" cm="1">
        <f t="array" ref="K800">SUMPRODUCT(([1]OUT_FinalEnergyCons!$B$4:$B$10000="Var_Fin")*1, ([1]OUT_FinalEnergyCons!$C$4:$C$10000="ITOT_LTH_DH")*1, (ISNUMBER(SEARCH("ITOT-SWHLTHDH",[1]OUT_FinalEnergyCons!$A$4:$A$10000)))*1,[1]OUT_FinalEnergyCons!I$4:I$10000)</f>
        <v>7.8648478644896667</v>
      </c>
    </row>
    <row r="801" spans="2:11" x14ac:dyDescent="0.35">
      <c r="B801" s="5" t="str">
        <f t="shared" si="504"/>
        <v>SPS2</v>
      </c>
      <c r="C801" s="5" t="str">
        <f t="shared" si="532"/>
        <v>CH</v>
      </c>
      <c r="D801" t="s">
        <v>952</v>
      </c>
      <c r="E801" t="s">
        <v>8</v>
      </c>
      <c r="F801" s="1">
        <f>F802</f>
        <v>9.0020032179067879</v>
      </c>
      <c r="G801" s="1">
        <f t="shared" ref="G801:K801" si="542">G802</f>
        <v>10.609994436775571</v>
      </c>
      <c r="H801" s="1">
        <f t="shared" si="542"/>
        <v>9.7939164437881132</v>
      </c>
      <c r="I801" s="1">
        <f t="shared" si="542"/>
        <v>11.292473244680613</v>
      </c>
      <c r="J801" s="1">
        <f t="shared" si="542"/>
        <v>11.036408159563878</v>
      </c>
      <c r="K801" s="1">
        <f t="shared" si="542"/>
        <v>9.1370356820434484</v>
      </c>
    </row>
    <row r="802" spans="2:11" x14ac:dyDescent="0.35">
      <c r="B802" s="5" t="str">
        <f t="shared" si="504"/>
        <v>SPS2</v>
      </c>
      <c r="C802" s="5" t="str">
        <f t="shared" si="532"/>
        <v>CH</v>
      </c>
      <c r="D802" t="s">
        <v>953</v>
      </c>
      <c r="E802" t="s">
        <v>8</v>
      </c>
      <c r="F802" s="1" cm="1">
        <f t="array" ref="F802">SUMPRODUCT(([1]OUT_FinalEnergyCons!$B$4:$B$10000="Var_Fin")*1, ([1]OUT_FinalEnergyCons!$C$4:$C$10000="iWOD")*1, (ISNUMBER(SEARCH("ITOT-SWHWOD*BR",[1]OUT_FinalEnergyCons!$A$4:$A$10000)))*1,[1]OUT_FinalEnergyCons!D$4:D$10000)</f>
        <v>9.0020032179067879</v>
      </c>
      <c r="G802" s="1" cm="1">
        <f t="array" ref="G802">SUMPRODUCT(([1]OUT_FinalEnergyCons!$B$4:$B$10000="Var_Fin")*1, ([1]OUT_FinalEnergyCons!$C$4:$C$10000="iWOD")*1, (ISNUMBER(SEARCH("ITOT-SWHWOD*BR",[1]OUT_FinalEnergyCons!$A$4:$A$10000)))*1,[1]OUT_FinalEnergyCons!E$4:E$10000)</f>
        <v>10.609994436775571</v>
      </c>
      <c r="H802" s="1" cm="1">
        <f t="array" ref="H802">SUMPRODUCT(([1]OUT_FinalEnergyCons!$B$4:$B$10000="Var_Fin")*1, ([1]OUT_FinalEnergyCons!$C$4:$C$10000="iWOD")*1, (ISNUMBER(SEARCH("ITOT-SWHWOD*BR",[1]OUT_FinalEnergyCons!$A$4:$A$10000)))*1,[1]OUT_FinalEnergyCons!F$4:F$10000)</f>
        <v>9.7939164437881132</v>
      </c>
      <c r="I802" s="1" cm="1">
        <f t="array" ref="I802">SUMPRODUCT(([1]OUT_FinalEnergyCons!$B$4:$B$10000="Var_Fin")*1, ([1]OUT_FinalEnergyCons!$C$4:$C$10000="iWOD")*1, (ISNUMBER(SEARCH("ITOT-SWHWOD*BR",[1]OUT_FinalEnergyCons!$A$4:$A$10000)))*1,[1]OUT_FinalEnergyCons!G$4:G$10000)</f>
        <v>11.292473244680613</v>
      </c>
      <c r="J802" s="1" cm="1">
        <f t="array" ref="J802">SUMPRODUCT(([1]OUT_FinalEnergyCons!$B$4:$B$10000="Var_Fin")*1, ([1]OUT_FinalEnergyCons!$C$4:$C$10000="iWOD")*1, (ISNUMBER(SEARCH("ITOT-SWHWOD*BR",[1]OUT_FinalEnergyCons!$A$4:$A$10000)))*1,[1]OUT_FinalEnergyCons!H$4:H$10000)</f>
        <v>11.036408159563878</v>
      </c>
      <c r="K802" s="1" cm="1">
        <f t="array" ref="K802">SUMPRODUCT(([1]OUT_FinalEnergyCons!$B$4:$B$10000="Var_Fin")*1, ([1]OUT_FinalEnergyCons!$C$4:$C$10000="iWOD")*1, (ISNUMBER(SEARCH("ITOT-SWHWOD*BR",[1]OUT_FinalEnergyCons!$A$4:$A$10000)))*1,[1]OUT_FinalEnergyCons!I$4:I$10000)</f>
        <v>9.1370356820434484</v>
      </c>
    </row>
    <row r="803" spans="2:11" x14ac:dyDescent="0.35">
      <c r="B803" s="5" t="str">
        <f t="shared" si="504"/>
        <v>SPS2</v>
      </c>
      <c r="C803" s="5" t="str">
        <f t="shared" si="532"/>
        <v>CH</v>
      </c>
      <c r="D803" t="s">
        <v>954</v>
      </c>
      <c r="E803" t="s">
        <v>8</v>
      </c>
      <c r="F803" s="1">
        <f>F804</f>
        <v>0.62582624222644578</v>
      </c>
      <c r="G803" s="1">
        <f t="shared" ref="G803:K803" si="543">G804</f>
        <v>0.73758790882719549</v>
      </c>
      <c r="H803" s="1">
        <f t="shared" si="543"/>
        <v>0.73650827749708303</v>
      </c>
      <c r="I803" s="1">
        <f t="shared" si="543"/>
        <v>0.73449143201984479</v>
      </c>
      <c r="J803" s="1">
        <f t="shared" si="543"/>
        <v>0.7304284605068827</v>
      </c>
      <c r="K803" s="1">
        <f t="shared" si="543"/>
        <v>0.72637415529677496</v>
      </c>
    </row>
    <row r="804" spans="2:11" x14ac:dyDescent="0.35">
      <c r="B804" s="5" t="str">
        <f t="shared" si="504"/>
        <v>SPS2</v>
      </c>
      <c r="C804" s="5" t="str">
        <f t="shared" si="532"/>
        <v>CH</v>
      </c>
      <c r="D804" t="s">
        <v>955</v>
      </c>
      <c r="E804" t="s">
        <v>8</v>
      </c>
      <c r="F804" s="1" cm="1">
        <f t="array" ref="F804">SUMPRODUCT(([1]OUT_FinalEnergyCons!$B$4:$B$10000="Var_Fin")*1, ([1]OUT_FinalEnergyCons!$C$4:$C$10000="IPLT")*1, (ISNUMBER(SEARCH("ITOT-SWHPLT*BR",[1]OUT_FinalEnergyCons!$A$4:$A$10000)))*1,[1]OUT_FinalEnergyCons!D$4:D$10000)</f>
        <v>0.62582624222644578</v>
      </c>
      <c r="G804" s="1" cm="1">
        <f t="array" ref="G804">SUMPRODUCT(([1]OUT_FinalEnergyCons!$B$4:$B$10000="Var_Fin")*1, ([1]OUT_FinalEnergyCons!$C$4:$C$10000="IPLT")*1, (ISNUMBER(SEARCH("ITOT-SWHPLT*BR",[1]OUT_FinalEnergyCons!$A$4:$A$10000)))*1,[1]OUT_FinalEnergyCons!E$4:E$10000)</f>
        <v>0.73758790882719549</v>
      </c>
      <c r="H804" s="1" cm="1">
        <f t="array" ref="H804">SUMPRODUCT(([1]OUT_FinalEnergyCons!$B$4:$B$10000="Var_Fin")*1, ([1]OUT_FinalEnergyCons!$C$4:$C$10000="IPLT")*1, (ISNUMBER(SEARCH("ITOT-SWHPLT*BR",[1]OUT_FinalEnergyCons!$A$4:$A$10000)))*1,[1]OUT_FinalEnergyCons!F$4:F$10000)</f>
        <v>0.73650827749708303</v>
      </c>
      <c r="I804" s="1" cm="1">
        <f t="array" ref="I804">SUMPRODUCT(([1]OUT_FinalEnergyCons!$B$4:$B$10000="Var_Fin")*1, ([1]OUT_FinalEnergyCons!$C$4:$C$10000="IPLT")*1, (ISNUMBER(SEARCH("ITOT-SWHPLT*BR",[1]OUT_FinalEnergyCons!$A$4:$A$10000)))*1,[1]OUT_FinalEnergyCons!G$4:G$10000)</f>
        <v>0.73449143201984479</v>
      </c>
      <c r="J804" s="1" cm="1">
        <f t="array" ref="J804">SUMPRODUCT(([1]OUT_FinalEnergyCons!$B$4:$B$10000="Var_Fin")*1, ([1]OUT_FinalEnergyCons!$C$4:$C$10000="IPLT")*1, (ISNUMBER(SEARCH("ITOT-SWHPLT*BR",[1]OUT_FinalEnergyCons!$A$4:$A$10000)))*1,[1]OUT_FinalEnergyCons!H$4:H$10000)</f>
        <v>0.7304284605068827</v>
      </c>
      <c r="K804" s="1" cm="1">
        <f t="array" ref="K804">SUMPRODUCT(([1]OUT_FinalEnergyCons!$B$4:$B$10000="Var_Fin")*1, ([1]OUT_FinalEnergyCons!$C$4:$C$10000="IPLT")*1, (ISNUMBER(SEARCH("ITOT-SWHPLT*BR",[1]OUT_FinalEnergyCons!$A$4:$A$10000)))*1,[1]OUT_FinalEnergyCons!I$4:I$10000)</f>
        <v>0.72637415529677496</v>
      </c>
    </row>
    <row r="805" spans="2:11" x14ac:dyDescent="0.35">
      <c r="B805" s="5" t="str">
        <f t="shared" si="504"/>
        <v>SPS2</v>
      </c>
      <c r="C805" s="5" t="str">
        <f t="shared" si="532"/>
        <v>CH</v>
      </c>
      <c r="D805" t="s">
        <v>492</v>
      </c>
      <c r="E805" t="s">
        <v>8</v>
      </c>
      <c r="F805" s="1">
        <f>[1]Industry!B$21</f>
        <v>7.7980931784811709</v>
      </c>
      <c r="G805" s="1">
        <f>[1]Industry!C$21</f>
        <v>8.0802456975124795</v>
      </c>
      <c r="H805" s="1">
        <f>[1]Industry!D$21</f>
        <v>5.6084722783459791</v>
      </c>
      <c r="I805" s="1">
        <f>[1]Industry!E$21</f>
        <v>5.9404852132494339</v>
      </c>
      <c r="J805" s="1">
        <f>[1]Industry!F$21</f>
        <v>5.8772723012982544</v>
      </c>
      <c r="K805" s="1">
        <f>[1]Industry!G$21</f>
        <v>2.7351148112672786E-4</v>
      </c>
    </row>
    <row r="806" spans="2:11" x14ac:dyDescent="0.35">
      <c r="B806" s="5" t="str">
        <f t="shared" si="504"/>
        <v>SPS2</v>
      </c>
      <c r="C806" s="5" t="str">
        <f t="shared" si="532"/>
        <v>CH</v>
      </c>
      <c r="D806" t="s">
        <v>495</v>
      </c>
      <c r="E806" t="s">
        <v>8</v>
      </c>
      <c r="F806" s="1">
        <f>F805</f>
        <v>7.7980931784811709</v>
      </c>
      <c r="G806" s="1">
        <f t="shared" ref="G806:K806" si="544">G805</f>
        <v>8.0802456975124795</v>
      </c>
      <c r="H806" s="1">
        <f t="shared" si="544"/>
        <v>5.6084722783459791</v>
      </c>
      <c r="I806" s="1">
        <f t="shared" si="544"/>
        <v>5.9404852132494339</v>
      </c>
      <c r="J806" s="1">
        <f t="shared" si="544"/>
        <v>5.8772723012982544</v>
      </c>
      <c r="K806" s="1">
        <f t="shared" si="544"/>
        <v>2.7351148112672786E-4</v>
      </c>
    </row>
    <row r="807" spans="2:11" x14ac:dyDescent="0.35">
      <c r="B807" s="5" t="str">
        <f t="shared" si="504"/>
        <v>SPS2</v>
      </c>
      <c r="C807" s="5" t="str">
        <f t="shared" si="532"/>
        <v>CH</v>
      </c>
      <c r="D807" t="s">
        <v>493</v>
      </c>
      <c r="E807" t="s">
        <v>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2:11" x14ac:dyDescent="0.35">
      <c r="B808" s="5" t="str">
        <f t="shared" si="504"/>
        <v>SPS2</v>
      </c>
      <c r="C808" s="5" t="str">
        <f t="shared" si="532"/>
        <v>CH</v>
      </c>
      <c r="D808" t="s">
        <v>494</v>
      </c>
      <c r="E808" t="s">
        <v>8</v>
      </c>
      <c r="F808" s="1">
        <f>F806</f>
        <v>7.7980931784811709</v>
      </c>
      <c r="G808" s="1">
        <f t="shared" ref="G808:K808" si="545">G806</f>
        <v>8.0802456975124795</v>
      </c>
      <c r="H808" s="1">
        <f t="shared" si="545"/>
        <v>5.6084722783459791</v>
      </c>
      <c r="I808" s="1">
        <f t="shared" si="545"/>
        <v>5.9404852132494339</v>
      </c>
      <c r="J808" s="1">
        <f t="shared" si="545"/>
        <v>5.8772723012982544</v>
      </c>
      <c r="K808" s="1">
        <f t="shared" si="545"/>
        <v>2.7351148112672786E-4</v>
      </c>
    </row>
    <row r="809" spans="2:11" x14ac:dyDescent="0.35">
      <c r="B809" s="5" t="str">
        <f t="shared" si="504"/>
        <v>SPS2</v>
      </c>
      <c r="C809" s="5" t="str">
        <f t="shared" ref="C809:C810" si="546">C808</f>
        <v>CH</v>
      </c>
      <c r="D809" t="s">
        <v>956</v>
      </c>
      <c r="E809" t="s">
        <v>8</v>
      </c>
      <c r="F809" s="1">
        <f>[1]Industry!B$22</f>
        <v>6.7756660819850226E-2</v>
      </c>
      <c r="G809" s="1">
        <f>[1]Industry!C$22</f>
        <v>8.5517462591914242E-2</v>
      </c>
      <c r="H809" s="1">
        <f>[1]Industry!D$22</f>
        <v>8.5761572348039286E-2</v>
      </c>
      <c r="I809" s="1">
        <f>[1]Industry!E$22</f>
        <v>2.3297851568660062</v>
      </c>
      <c r="J809" s="1">
        <f>[1]Industry!F$22</f>
        <v>2.3214231209567906</v>
      </c>
      <c r="K809" s="1">
        <f>[1]Industry!G$22</f>
        <v>1.6632643607977544</v>
      </c>
    </row>
    <row r="810" spans="2:11" x14ac:dyDescent="0.35">
      <c r="B810" s="5" t="str">
        <f t="shared" si="504"/>
        <v>SPS2</v>
      </c>
      <c r="C810" s="5" t="str">
        <f t="shared" si="546"/>
        <v>CH</v>
      </c>
      <c r="D810" t="s">
        <v>957</v>
      </c>
      <c r="E810" t="s">
        <v>8</v>
      </c>
      <c r="F810" s="1">
        <f>F809</f>
        <v>6.7756660819850226E-2</v>
      </c>
      <c r="G810" s="1">
        <f t="shared" ref="G810:K810" si="547">G809</f>
        <v>8.5517462591914242E-2</v>
      </c>
      <c r="H810" s="1">
        <f t="shared" si="547"/>
        <v>8.5761572348039286E-2</v>
      </c>
      <c r="I810" s="1">
        <f t="shared" si="547"/>
        <v>2.3297851568660062</v>
      </c>
      <c r="J810" s="1">
        <f t="shared" si="547"/>
        <v>2.3214231209567906</v>
      </c>
      <c r="K810" s="1">
        <f t="shared" si="547"/>
        <v>1.6632643607977544</v>
      </c>
    </row>
    <row r="811" spans="2:11" x14ac:dyDescent="0.35">
      <c r="B811" s="5" t="str">
        <f t="shared" si="504"/>
        <v>SPS2</v>
      </c>
      <c r="C811" s="5" t="str">
        <f t="shared" ref="C811:C812" si="548">C810</f>
        <v>CH</v>
      </c>
      <c r="D811" t="s">
        <v>958</v>
      </c>
      <c r="E811" t="s">
        <v>8</v>
      </c>
      <c r="F811" s="1">
        <f>[1]Industry!B$23</f>
        <v>0</v>
      </c>
      <c r="G811" s="1">
        <f>[1]Industry!C$23</f>
        <v>0</v>
      </c>
      <c r="H811" s="1">
        <f>[1]Industry!D$23</f>
        <v>0</v>
      </c>
      <c r="I811" s="1">
        <f>[1]Industry!E$23</f>
        <v>0</v>
      </c>
      <c r="J811" s="1">
        <f>[1]Industry!F$23</f>
        <v>16.137014852750646</v>
      </c>
      <c r="K811" s="1">
        <f>[1]Industry!G$23</f>
        <v>21.47890327814142</v>
      </c>
    </row>
    <row r="812" spans="2:11" x14ac:dyDescent="0.35">
      <c r="B812" s="5" t="str">
        <f t="shared" si="504"/>
        <v>SPS2</v>
      </c>
      <c r="C812" s="5" t="str">
        <f t="shared" si="548"/>
        <v>CH</v>
      </c>
      <c r="D812" t="s">
        <v>959</v>
      </c>
      <c r="E812" t="s">
        <v>8</v>
      </c>
      <c r="F812" s="1">
        <f>F811</f>
        <v>0</v>
      </c>
      <c r="G812" s="1">
        <f t="shared" ref="G812:K812" si="549">G811</f>
        <v>0</v>
      </c>
      <c r="H812" s="1">
        <f t="shared" si="549"/>
        <v>0</v>
      </c>
      <c r="I812" s="1">
        <f t="shared" si="549"/>
        <v>0</v>
      </c>
      <c r="J812" s="1">
        <f t="shared" si="549"/>
        <v>16.137014852750646</v>
      </c>
      <c r="K812" s="1">
        <f t="shared" si="549"/>
        <v>21.47890327814142</v>
      </c>
    </row>
    <row r="813" spans="2:11" x14ac:dyDescent="0.35">
      <c r="B813" s="5" t="str">
        <f t="shared" si="504"/>
        <v>SPS2</v>
      </c>
      <c r="C813" s="5" t="str">
        <f t="shared" ref="C813:C814" si="550">C812</f>
        <v>CH</v>
      </c>
      <c r="D813" t="s">
        <v>960</v>
      </c>
      <c r="E813" t="s">
        <v>8</v>
      </c>
      <c r="F813" s="1">
        <f>[1]Industry!B$24</f>
        <v>0.74857702472387722</v>
      </c>
      <c r="G813" s="1">
        <f>[1]Industry!C$24</f>
        <v>0.94976627876389941</v>
      </c>
      <c r="H813" s="1">
        <f>[1]Industry!D$24</f>
        <v>1.1649608557092708</v>
      </c>
      <c r="I813" s="1">
        <f>[1]Industry!E$24</f>
        <v>4.0611893219767321</v>
      </c>
      <c r="J813" s="1">
        <f>[1]Industry!F$24</f>
        <v>4.1300715896102771</v>
      </c>
      <c r="K813" s="1">
        <f>[1]Industry!G$24</f>
        <v>4.1934070282669422</v>
      </c>
    </row>
    <row r="814" spans="2:11" x14ac:dyDescent="0.35">
      <c r="B814" s="5" t="str">
        <f t="shared" si="504"/>
        <v>SPS2</v>
      </c>
      <c r="C814" s="5" t="str">
        <f t="shared" si="550"/>
        <v>CH</v>
      </c>
      <c r="D814" t="s">
        <v>961</v>
      </c>
      <c r="E814" t="s">
        <v>8</v>
      </c>
      <c r="F814" s="1" cm="1">
        <f t="array" ref="F814">SUMPRODUCT(([1]OUT_FinalEnergyCons!$B$4:$B$10000="Var_FOut")*1, ([1]OUT_FinalEnergyCons!$C$4:$C$10000="ITOT-SWHAelch")*1, (ISNUMBER(SEARCH("ITOT-SWHELCHP",[1]OUT_FinalEnergyCons!$A$4:$A$10000)))*1,[1]OUT_FinalEnergyCons!D$4:D$10000)-F764</f>
        <v>0.74857702472387722</v>
      </c>
      <c r="G814" s="1" cm="1">
        <f t="array" ref="G814">SUMPRODUCT(([1]OUT_FinalEnergyCons!$B$4:$B$10000="Var_FOut")*1, ([1]OUT_FinalEnergyCons!$C$4:$C$10000="ITOT-SWHAelch")*1, (ISNUMBER(SEARCH("ITOT-SWHELCHP",[1]OUT_FinalEnergyCons!$A$4:$A$10000)))*1,[1]OUT_FinalEnergyCons!E$4:E$10000)-G764</f>
        <v>0.94976627876389941</v>
      </c>
      <c r="H814" s="1" cm="1">
        <f t="array" ref="H814">SUMPRODUCT(([1]OUT_FinalEnergyCons!$B$4:$B$10000="Var_FOut")*1, ([1]OUT_FinalEnergyCons!$C$4:$C$10000="ITOT-SWHAelch")*1, (ISNUMBER(SEARCH("ITOT-SWHELCHP",[1]OUT_FinalEnergyCons!$A$4:$A$10000)))*1,[1]OUT_FinalEnergyCons!F$4:F$10000)-H764</f>
        <v>1.1525641489210012</v>
      </c>
      <c r="I814" s="1" cm="1">
        <f t="array" ref="I814">SUMPRODUCT(([1]OUT_FinalEnergyCons!$B$4:$B$10000="Var_FOut")*1, ([1]OUT_FinalEnergyCons!$C$4:$C$10000="ITOT-SWHAelch")*1, (ISNUMBER(SEARCH("ITOT-SWHELCHP",[1]OUT_FinalEnergyCons!$A$4:$A$10000)))*1,[1]OUT_FinalEnergyCons!G$4:G$10000)-I764</f>
        <v>4.0555622519535346</v>
      </c>
      <c r="J814" s="1" cm="1">
        <f t="array" ref="J814">SUMPRODUCT(([1]OUT_FinalEnergyCons!$B$4:$B$10000="Var_FOut")*1, ([1]OUT_FinalEnergyCons!$C$4:$C$10000="ITOT-SWHAelch")*1, (ISNUMBER(SEARCH("ITOT-SWHELCHP",[1]OUT_FinalEnergyCons!$A$4:$A$10000)))*1,[1]OUT_FinalEnergyCons!H$4:H$10000)-J764</f>
        <v>4.1234944241291416</v>
      </c>
      <c r="K814" s="1" cm="1">
        <f t="array" ref="K814">SUMPRODUCT(([1]OUT_FinalEnergyCons!$B$4:$B$10000="Var_FOut")*1, ([1]OUT_FinalEnergyCons!$C$4:$C$10000="ITOT-SWHAelch")*1, (ISNUMBER(SEARCH("ITOT-SWHELCHP",[1]OUT_FinalEnergyCons!$A$4:$A$10000)))*1,[1]OUT_FinalEnergyCons!I$4:I$10000)-K764</f>
        <v>4.1865928937459227</v>
      </c>
    </row>
    <row r="815" spans="2:11" x14ac:dyDescent="0.35">
      <c r="B815" s="5" t="str">
        <f t="shared" si="504"/>
        <v>SPS2</v>
      </c>
      <c r="C815" s="5" t="str">
        <f t="shared" ref="C815:C823" si="551">C814</f>
        <v>CH</v>
      </c>
      <c r="D815" t="s">
        <v>962</v>
      </c>
      <c r="E815" t="s">
        <v>8</v>
      </c>
      <c r="F815" s="1">
        <f>F813-F814</f>
        <v>0</v>
      </c>
      <c r="G815" s="1">
        <f t="shared" ref="G815:K815" si="552">G813-G814</f>
        <v>0</v>
      </c>
      <c r="H815" s="1">
        <f t="shared" si="552"/>
        <v>1.239670678826954E-2</v>
      </c>
      <c r="I815" s="1">
        <f t="shared" si="552"/>
        <v>5.6270700231975113E-3</v>
      </c>
      <c r="J815" s="1">
        <f t="shared" si="552"/>
        <v>6.5771654811355162E-3</v>
      </c>
      <c r="K815" s="1">
        <f t="shared" si="552"/>
        <v>6.8141345210195325E-3</v>
      </c>
    </row>
    <row r="816" spans="2:11" x14ac:dyDescent="0.35">
      <c r="B816" s="9" t="str">
        <f t="shared" si="504"/>
        <v>SPS2</v>
      </c>
      <c r="C816" s="9" t="str">
        <f t="shared" si="551"/>
        <v>CH</v>
      </c>
      <c r="D816" s="2" t="s">
        <v>684</v>
      </c>
      <c r="E816" s="9" t="s">
        <v>8</v>
      </c>
      <c r="F816" s="17">
        <f>[1]Industry!B$71</f>
        <v>72.708948105365934</v>
      </c>
      <c r="G816" s="17">
        <f>[1]Industry!C$71</f>
        <v>74.35342191619867</v>
      </c>
      <c r="H816" s="17">
        <f>[1]Industry!D$71</f>
        <v>75.738244734793781</v>
      </c>
      <c r="I816" s="17">
        <f>[1]Industry!E$71</f>
        <v>76.681679566655717</v>
      </c>
      <c r="J816" s="17">
        <f>[1]Industry!F$71</f>
        <v>77.547401913714339</v>
      </c>
      <c r="K816" s="17">
        <f>[1]Industry!G$71</f>
        <v>78.274198342654628</v>
      </c>
    </row>
    <row r="817" spans="2:13" x14ac:dyDescent="0.35">
      <c r="B817" s="5" t="str">
        <f t="shared" si="504"/>
        <v>SPS2</v>
      </c>
      <c r="C817" s="5" t="str">
        <f t="shared" si="551"/>
        <v>CH</v>
      </c>
      <c r="D817" t="s">
        <v>2032</v>
      </c>
      <c r="E817" t="s">
        <v>8</v>
      </c>
      <c r="F817" s="18">
        <f>SUM(F818:F820)</f>
        <v>58.985659540935103</v>
      </c>
      <c r="G817" s="18">
        <f t="shared" ref="G817:K817" si="553">SUM(G818:G820)</f>
        <v>61.602327970585705</v>
      </c>
      <c r="H817" s="18">
        <f t="shared" si="553"/>
        <v>67.886464391284122</v>
      </c>
      <c r="I817" s="18">
        <f t="shared" si="553"/>
        <v>73.409710933625803</v>
      </c>
      <c r="J817" s="18">
        <f t="shared" si="553"/>
        <v>71.871335661410029</v>
      </c>
      <c r="K817" s="18">
        <f t="shared" si="553"/>
        <v>73.567899035784023</v>
      </c>
    </row>
    <row r="818" spans="2:13" x14ac:dyDescent="0.35">
      <c r="B818" s="5" t="str">
        <f t="shared" si="504"/>
        <v>SPS2</v>
      </c>
      <c r="C818" s="5" t="str">
        <f t="shared" si="551"/>
        <v>CH</v>
      </c>
      <c r="D818" t="s">
        <v>2033</v>
      </c>
      <c r="E818" t="s">
        <v>8</v>
      </c>
      <c r="F818" s="1">
        <f>[1]Industry!B$55</f>
        <v>9.8139615802201821</v>
      </c>
      <c r="G818" s="1">
        <f>[1]Industry!C$55</f>
        <v>10.335100451801139</v>
      </c>
      <c r="H818" s="1">
        <f>[1]Industry!D$55</f>
        <v>14.912016569247035</v>
      </c>
      <c r="I818" s="1">
        <f>[1]Industry!E$55</f>
        <v>14.912331128005246</v>
      </c>
      <c r="J818" s="1">
        <f>[1]Industry!F$55</f>
        <v>14.912327594154915</v>
      </c>
      <c r="K818" s="1">
        <f>[1]Industry!G$55</f>
        <v>14.912315861360817</v>
      </c>
      <c r="L818" s="1"/>
      <c r="M818" s="1"/>
    </row>
    <row r="819" spans="2:13" x14ac:dyDescent="0.35">
      <c r="B819" s="5" t="str">
        <f t="shared" si="504"/>
        <v>SPS2</v>
      </c>
      <c r="C819" s="5" t="str">
        <f t="shared" si="551"/>
        <v>CH</v>
      </c>
      <c r="D819" t="s">
        <v>2034</v>
      </c>
      <c r="E819" t="s">
        <v>8</v>
      </c>
      <c r="F819" s="1">
        <f>[1]Industry!B$56</f>
        <v>1.1083003085439191</v>
      </c>
      <c r="G819" s="1">
        <f>[1]Industry!C$56</f>
        <v>1.4008464846282902</v>
      </c>
      <c r="H819" s="1">
        <f>[1]Industry!D$56</f>
        <v>1.6905488616166664</v>
      </c>
      <c r="I819" s="1">
        <f>[1]Industry!E$56</f>
        <v>5.8958488527047628</v>
      </c>
      <c r="J819" s="1">
        <f>[1]Industry!F$56</f>
        <v>5.8958564493975922</v>
      </c>
      <c r="K819" s="1">
        <f>[1]Industry!G$56</f>
        <v>5.8958670496703931</v>
      </c>
    </row>
    <row r="820" spans="2:13" x14ac:dyDescent="0.35">
      <c r="B820" s="5" t="str">
        <f t="shared" ref="B820:B883" si="554">B819</f>
        <v>SPS2</v>
      </c>
      <c r="C820" s="5" t="str">
        <f t="shared" si="551"/>
        <v>CH</v>
      </c>
      <c r="D820" t="s">
        <v>2035</v>
      </c>
      <c r="E820" t="s">
        <v>8</v>
      </c>
      <c r="F820" s="1">
        <f>[1]Industry!B$3-([1]Industry!B$6-[1]Industry!B$70)</f>
        <v>48.063397652170998</v>
      </c>
      <c r="G820" s="1">
        <f>[1]Industry!C$3-([1]Industry!C$6-[1]Industry!C$70)</f>
        <v>49.866381034156277</v>
      </c>
      <c r="H820" s="1">
        <f>[1]Industry!D$3-([1]Industry!D$6-[1]Industry!D$70)</f>
        <v>51.283898960420416</v>
      </c>
      <c r="I820" s="1">
        <f>[1]Industry!E$3-([1]Industry!E$6-[1]Industry!E$70)</f>
        <v>52.601530952915802</v>
      </c>
      <c r="J820" s="1">
        <f>[1]Industry!F$3-([1]Industry!F$6-[1]Industry!F$70)</f>
        <v>51.063151617857514</v>
      </c>
      <c r="K820" s="1">
        <f>[1]Industry!G$3-([1]Industry!G$6-[1]Industry!G$70)</f>
        <v>52.759716124752813</v>
      </c>
    </row>
    <row r="821" spans="2:13" x14ac:dyDescent="0.35">
      <c r="B821" s="5" t="str">
        <f t="shared" si="554"/>
        <v>SPS2</v>
      </c>
      <c r="C821" s="5" t="str">
        <f t="shared" si="551"/>
        <v>CH</v>
      </c>
      <c r="D821" t="s">
        <v>2036</v>
      </c>
      <c r="E821" t="s">
        <v>8</v>
      </c>
      <c r="F821" s="1">
        <f>SUM(F822:F823)</f>
        <v>8.7636266078535954</v>
      </c>
      <c r="G821" s="1">
        <f t="shared" ref="G821:K821" si="555">SUM(G822:G823)</f>
        <v>8.0928047130075917</v>
      </c>
      <c r="H821" s="1">
        <f t="shared" si="555"/>
        <v>6.2187914925238479</v>
      </c>
      <c r="I821" s="1">
        <f t="shared" si="555"/>
        <v>5.0365186919915024</v>
      </c>
      <c r="J821" s="1">
        <f t="shared" si="555"/>
        <v>2.4535683611847028</v>
      </c>
      <c r="K821" s="1">
        <f t="shared" si="555"/>
        <v>0.18777212530312296</v>
      </c>
    </row>
    <row r="822" spans="2:13" x14ac:dyDescent="0.35">
      <c r="B822" s="5" t="str">
        <f t="shared" si="554"/>
        <v>SPS2</v>
      </c>
      <c r="C822" s="5" t="str">
        <f t="shared" si="551"/>
        <v>CH</v>
      </c>
      <c r="D822" t="s">
        <v>2037</v>
      </c>
      <c r="E822" t="s">
        <v>8</v>
      </c>
      <c r="F822" s="1">
        <f>[1]Industry!B$57</f>
        <v>6.9177773355812509</v>
      </c>
      <c r="G822" s="1">
        <f>[1]Industry!C$57</f>
        <v>6.3170679480727214</v>
      </c>
      <c r="H822" s="1">
        <f>[1]Industry!D$57</f>
        <v>6.211316105817887</v>
      </c>
      <c r="I822" s="1">
        <f>[1]Industry!E$57</f>
        <v>5.0360692921579391</v>
      </c>
      <c r="J822" s="1">
        <f>[1]Industry!F$57</f>
        <v>2.4528673391934919</v>
      </c>
      <c r="K822" s="1">
        <f>[1]Industry!G$57</f>
        <v>0.18777212530312296</v>
      </c>
    </row>
    <row r="823" spans="2:13" x14ac:dyDescent="0.35">
      <c r="B823" s="5" t="str">
        <f t="shared" si="554"/>
        <v>SPS2</v>
      </c>
      <c r="C823" s="5" t="str">
        <f t="shared" si="551"/>
        <v>CH</v>
      </c>
      <c r="D823" t="s">
        <v>2038</v>
      </c>
      <c r="E823" t="s">
        <v>8</v>
      </c>
      <c r="F823" s="1">
        <f>[1]Industry!B$58</f>
        <v>1.8458492722723452</v>
      </c>
      <c r="G823" s="1">
        <f>[1]Industry!C$58</f>
        <v>1.7757367649348701</v>
      </c>
      <c r="H823" s="1">
        <f>[1]Industry!D$58</f>
        <v>7.475386705960538E-3</v>
      </c>
      <c r="I823" s="1">
        <f>[1]Industry!E$58</f>
        <v>4.4939983356360997E-4</v>
      </c>
      <c r="J823" s="1">
        <f>[1]Industry!F$58</f>
        <v>7.010219912109766E-4</v>
      </c>
      <c r="K823" s="1">
        <f>[1]Industry!G$58</f>
        <v>0</v>
      </c>
    </row>
    <row r="824" spans="2:13" x14ac:dyDescent="0.35">
      <c r="B824" s="5" t="str">
        <f t="shared" si="554"/>
        <v>SPS2</v>
      </c>
      <c r="C824" s="5" t="str">
        <f>C823</f>
        <v>CH</v>
      </c>
      <c r="D824" t="s">
        <v>2039</v>
      </c>
      <c r="E824" t="s">
        <v>8</v>
      </c>
      <c r="F824" s="1">
        <f>SUM(F825:F827)</f>
        <v>28.930347946979246</v>
      </c>
      <c r="G824" s="1">
        <f t="shared" ref="G824:K824" si="556">SUM(G825:G827)</f>
        <v>24.374558691611842</v>
      </c>
      <c r="H824" s="1">
        <f t="shared" si="556"/>
        <v>24.839478572012467</v>
      </c>
      <c r="I824" s="1">
        <f t="shared" si="556"/>
        <v>19.315412762180326</v>
      </c>
      <c r="J824" s="1">
        <f t="shared" si="556"/>
        <v>4.7697003023892712</v>
      </c>
      <c r="K824" s="1">
        <f t="shared" si="556"/>
        <v>3.138202555026834</v>
      </c>
    </row>
    <row r="825" spans="2:13" x14ac:dyDescent="0.35">
      <c r="B825" s="5" t="str">
        <f t="shared" si="554"/>
        <v>SPS2</v>
      </c>
      <c r="C825" s="5" t="str">
        <f t="shared" ref="C825:C854" si="557">C824</f>
        <v>CH</v>
      </c>
      <c r="D825" t="s">
        <v>2040</v>
      </c>
      <c r="E825" t="s">
        <v>8</v>
      </c>
      <c r="F825" s="1">
        <f>[1]Industry!B$59</f>
        <v>28.619781060973448</v>
      </c>
      <c r="G825" s="1">
        <f>[1]Industry!C$59</f>
        <v>23.982026627313839</v>
      </c>
      <c r="H825" s="1">
        <f>[1]Industry!D$59</f>
        <v>23.634956733788528</v>
      </c>
      <c r="I825" s="1">
        <f>[1]Industry!E$59</f>
        <v>17.818991560442672</v>
      </c>
      <c r="J825" s="1">
        <f>[1]Industry!F$59</f>
        <v>3.2716793283418886</v>
      </c>
      <c r="K825" s="1">
        <f>[1]Industry!G$59</f>
        <v>1.6213612463933704</v>
      </c>
    </row>
    <row r="826" spans="2:13" x14ac:dyDescent="0.35">
      <c r="B826" s="5" t="str">
        <f t="shared" si="554"/>
        <v>SPS2</v>
      </c>
      <c r="C826" s="5" t="str">
        <f t="shared" si="557"/>
        <v>CH</v>
      </c>
      <c r="D826" t="s">
        <v>2041</v>
      </c>
      <c r="E826" t="s">
        <v>8</v>
      </c>
      <c r="F826" s="1">
        <f>[1]Industry!B$60</f>
        <v>0</v>
      </c>
      <c r="G826" s="1">
        <f>[1]Industry!C$60</f>
        <v>0</v>
      </c>
      <c r="H826" s="1">
        <f>[1]Industry!D$60</f>
        <v>2.6397576494811868E-2</v>
      </c>
      <c r="I826" s="1">
        <f>[1]Industry!E$60</f>
        <v>1.1728462314761091E-2</v>
      </c>
      <c r="J826" s="1">
        <f>[1]Industry!F$60</f>
        <v>1.318119695290379E-2</v>
      </c>
      <c r="K826" s="1">
        <f>[1]Industry!G$60</f>
        <v>1.3184843693154216E-2</v>
      </c>
    </row>
    <row r="827" spans="2:13" x14ac:dyDescent="0.35">
      <c r="B827" s="5" t="str">
        <f t="shared" si="554"/>
        <v>SPS2</v>
      </c>
      <c r="C827" s="5" t="str">
        <f t="shared" si="557"/>
        <v>CH</v>
      </c>
      <c r="D827" t="s">
        <v>2042</v>
      </c>
      <c r="E827" t="s">
        <v>8</v>
      </c>
      <c r="F827" s="1">
        <f>[1]Industry!B$68</f>
        <v>0.31056688600579913</v>
      </c>
      <c r="G827" s="1">
        <f>[1]Industry!C$68</f>
        <v>0.39253206429800241</v>
      </c>
      <c r="H827" s="1">
        <f>[1]Industry!D$68</f>
        <v>1.1781242617291272</v>
      </c>
      <c r="I827" s="1">
        <f>[1]Industry!E$68</f>
        <v>1.4846927394228921</v>
      </c>
      <c r="J827" s="1">
        <f>[1]Industry!F$68</f>
        <v>1.4848397770944792</v>
      </c>
      <c r="K827" s="1">
        <f>[1]Industry!G$68</f>
        <v>1.5036564649403095</v>
      </c>
    </row>
    <row r="828" spans="2:13" x14ac:dyDescent="0.35">
      <c r="B828" s="5" t="str">
        <f t="shared" si="554"/>
        <v>SPS2</v>
      </c>
      <c r="C828" s="5" t="str">
        <f t="shared" si="557"/>
        <v>CH</v>
      </c>
      <c r="D828" t="s">
        <v>2043</v>
      </c>
      <c r="E828" t="s">
        <v>8</v>
      </c>
      <c r="F828" s="1">
        <f>F829</f>
        <v>2.367456322124935</v>
      </c>
      <c r="G828" s="1">
        <f t="shared" ref="G828:K828" si="558">G829</f>
        <v>2.3075150343395676</v>
      </c>
      <c r="H828" s="1">
        <f t="shared" si="558"/>
        <v>2.148410411786752</v>
      </c>
      <c r="I828" s="1">
        <f t="shared" si="558"/>
        <v>4.3438556552869643E-4</v>
      </c>
      <c r="J828" s="1">
        <f t="shared" si="558"/>
        <v>6.8331425370401079E-4</v>
      </c>
      <c r="K828" s="1">
        <f t="shared" si="558"/>
        <v>1.6378485727025812E-5</v>
      </c>
    </row>
    <row r="829" spans="2:13" x14ac:dyDescent="0.35">
      <c r="B829" s="5" t="str">
        <f t="shared" si="554"/>
        <v>SPS2</v>
      </c>
      <c r="C829" s="5" t="str">
        <f t="shared" si="557"/>
        <v>CH</v>
      </c>
      <c r="D829" t="s">
        <v>2044</v>
      </c>
      <c r="E829" t="s">
        <v>8</v>
      </c>
      <c r="F829" s="1">
        <f>[1]Industry!B$61</f>
        <v>2.367456322124935</v>
      </c>
      <c r="G829" s="1">
        <f>[1]Industry!C$61</f>
        <v>2.3075150343395676</v>
      </c>
      <c r="H829" s="1">
        <f>[1]Industry!D$61</f>
        <v>2.148410411786752</v>
      </c>
      <c r="I829" s="1">
        <f>[1]Industry!E$61</f>
        <v>4.3438556552869643E-4</v>
      </c>
      <c r="J829" s="1">
        <f>[1]Industry!F$61</f>
        <v>6.8331425370401079E-4</v>
      </c>
      <c r="K829" s="1">
        <f>[1]Industry!G$61</f>
        <v>1.6378485727025812E-5</v>
      </c>
    </row>
    <row r="830" spans="2:13" x14ac:dyDescent="0.35">
      <c r="B830" s="5" t="str">
        <f t="shared" si="554"/>
        <v>SPS2</v>
      </c>
      <c r="C830" s="5" t="str">
        <f t="shared" si="557"/>
        <v>CH</v>
      </c>
      <c r="D830" t="s">
        <v>2045</v>
      </c>
      <c r="E830" t="s">
        <v>8</v>
      </c>
      <c r="F830" s="1">
        <f>F831+F841</f>
        <v>11.76737672837913</v>
      </c>
      <c r="G830" s="1">
        <f t="shared" ref="G830:K830" si="559">G831+G841</f>
        <v>12.635424585900616</v>
      </c>
      <c r="H830" s="1">
        <f t="shared" si="559"/>
        <v>12.498769562588153</v>
      </c>
      <c r="I830" s="1">
        <f t="shared" si="559"/>
        <v>14.173690160736829</v>
      </c>
      <c r="J830" s="1">
        <f t="shared" si="559"/>
        <v>14.292562175350882</v>
      </c>
      <c r="K830" s="1">
        <f t="shared" si="559"/>
        <v>19.337347364851635</v>
      </c>
    </row>
    <row r="831" spans="2:13" x14ac:dyDescent="0.35">
      <c r="B831" s="5" t="str">
        <f t="shared" si="554"/>
        <v>SPS2</v>
      </c>
      <c r="C831" s="5" t="str">
        <f t="shared" si="557"/>
        <v>CH</v>
      </c>
      <c r="D831" t="s">
        <v>2046</v>
      </c>
      <c r="E831" t="s">
        <v>8</v>
      </c>
      <c r="F831" s="1">
        <f>[1]Industry!B$62</f>
        <v>5.1850796986844703</v>
      </c>
      <c r="G831" s="1">
        <f>[1]Industry!C$62</f>
        <v>5.5675700102862704</v>
      </c>
      <c r="H831" s="1">
        <f>[1]Industry!D$62</f>
        <v>5.6657358945418919</v>
      </c>
      <c r="I831" s="1">
        <f>[1]Industry!E$62</f>
        <v>6.964634327949347</v>
      </c>
      <c r="J831" s="1">
        <f>[1]Industry!F$62</f>
        <v>7.9958190569052858</v>
      </c>
      <c r="K831" s="1">
        <f>[1]Industry!G$62</f>
        <v>11.865741893586454</v>
      </c>
      <c r="M831" s="1"/>
    </row>
    <row r="832" spans="2:13" x14ac:dyDescent="0.35">
      <c r="B832" s="5" t="str">
        <f t="shared" si="554"/>
        <v>SPS2</v>
      </c>
      <c r="C832" s="5" t="str">
        <f t="shared" si="557"/>
        <v>CH</v>
      </c>
      <c r="D832" t="s">
        <v>2047</v>
      </c>
      <c r="E832" t="s">
        <v>8</v>
      </c>
      <c r="F832" s="1">
        <f>IFERROR(F791/F$790,0)*F$831</f>
        <v>1.1190390156993868</v>
      </c>
      <c r="G832" s="1">
        <f t="shared" ref="G832:K832" si="560">IFERROR(G791/G$790,0)*G$831</f>
        <v>1.942286505966921</v>
      </c>
      <c r="H832" s="1">
        <f t="shared" si="560"/>
        <v>9.7034783795081334E-2</v>
      </c>
      <c r="I832" s="1">
        <f t="shared" si="560"/>
        <v>1.2278249239371033</v>
      </c>
      <c r="J832" s="1">
        <f t="shared" si="560"/>
        <v>0</v>
      </c>
      <c r="K832" s="1">
        <f t="shared" si="560"/>
        <v>0</v>
      </c>
    </row>
    <row r="833" spans="2:13" x14ac:dyDescent="0.35">
      <c r="B833" s="5" t="str">
        <f t="shared" si="554"/>
        <v>SPS2</v>
      </c>
      <c r="C833" s="5" t="str">
        <f t="shared" si="557"/>
        <v>CH</v>
      </c>
      <c r="D833" t="s">
        <v>2048</v>
      </c>
      <c r="E833" t="s">
        <v>8</v>
      </c>
      <c r="F833" s="1">
        <f t="shared" ref="F833:K840" si="561">IFERROR(F792/F$790,0)*F$831</f>
        <v>0.94273705333396474</v>
      </c>
      <c r="G833" s="1">
        <f t="shared" si="561"/>
        <v>8.7121036007436689E-2</v>
      </c>
      <c r="H833" s="1">
        <f t="shared" si="561"/>
        <v>5.9820484809318411E-2</v>
      </c>
      <c r="I833" s="1">
        <f t="shared" si="561"/>
        <v>2.5412054853212809E-2</v>
      </c>
      <c r="J833" s="1">
        <f t="shared" si="561"/>
        <v>0.70295053620836156</v>
      </c>
      <c r="K833" s="1">
        <f t="shared" si="561"/>
        <v>0.44363630583159602</v>
      </c>
    </row>
    <row r="834" spans="2:13" x14ac:dyDescent="0.35">
      <c r="B834" s="5" t="str">
        <f t="shared" si="554"/>
        <v>SPS2</v>
      </c>
      <c r="C834" s="5" t="str">
        <f t="shared" si="557"/>
        <v>CH</v>
      </c>
      <c r="D834" t="s">
        <v>2049</v>
      </c>
      <c r="E834" t="s">
        <v>8</v>
      </c>
      <c r="F834" s="1">
        <f t="shared" si="561"/>
        <v>0</v>
      </c>
      <c r="G834" s="1">
        <f t="shared" si="561"/>
        <v>0</v>
      </c>
      <c r="H834" s="1">
        <f t="shared" si="561"/>
        <v>0</v>
      </c>
      <c r="I834" s="1">
        <f t="shared" si="561"/>
        <v>0</v>
      </c>
      <c r="J834" s="1">
        <f t="shared" si="561"/>
        <v>2.6418487120783659E-3</v>
      </c>
      <c r="K834" s="1">
        <f t="shared" si="561"/>
        <v>0.2565710307035145</v>
      </c>
    </row>
    <row r="835" spans="2:13" x14ac:dyDescent="0.35">
      <c r="B835" s="5" t="str">
        <f t="shared" si="554"/>
        <v>SPS2</v>
      </c>
      <c r="C835" s="5" t="str">
        <f t="shared" si="557"/>
        <v>CH</v>
      </c>
      <c r="D835" t="s">
        <v>2050</v>
      </c>
      <c r="E835" t="s">
        <v>8</v>
      </c>
      <c r="F835" s="1">
        <f t="shared" si="561"/>
        <v>0</v>
      </c>
      <c r="G835" s="1">
        <f t="shared" si="561"/>
        <v>0</v>
      </c>
      <c r="H835" s="1">
        <f t="shared" si="561"/>
        <v>0</v>
      </c>
      <c r="I835" s="1">
        <f t="shared" si="561"/>
        <v>0</v>
      </c>
      <c r="J835" s="1">
        <f t="shared" si="561"/>
        <v>3.6911032632812074E-3</v>
      </c>
      <c r="K835" s="1">
        <f t="shared" si="561"/>
        <v>4.9282115737282262E-4</v>
      </c>
    </row>
    <row r="836" spans="2:13" x14ac:dyDescent="0.35">
      <c r="B836" s="5" t="str">
        <f t="shared" si="554"/>
        <v>SPS2</v>
      </c>
      <c r="C836" s="5" t="str">
        <f t="shared" si="557"/>
        <v>CH</v>
      </c>
      <c r="D836" t="s">
        <v>2051</v>
      </c>
      <c r="E836" t="s">
        <v>8</v>
      </c>
      <c r="F836" s="1">
        <f t="shared" si="561"/>
        <v>2.329204451026992</v>
      </c>
      <c r="G836" s="1">
        <f t="shared" si="561"/>
        <v>1.846266601301678</v>
      </c>
      <c r="H836" s="1">
        <f t="shared" si="561"/>
        <v>2.3879205030133877</v>
      </c>
      <c r="I836" s="1">
        <f t="shared" si="561"/>
        <v>2.2530805891183503</v>
      </c>
      <c r="J836" s="1">
        <f t="shared" si="561"/>
        <v>1.4435115931790146</v>
      </c>
      <c r="K836" s="1">
        <f t="shared" si="561"/>
        <v>3.3622722753884354E-4</v>
      </c>
    </row>
    <row r="837" spans="2:13" x14ac:dyDescent="0.35">
      <c r="B837" s="5" t="str">
        <f t="shared" si="554"/>
        <v>SPS2</v>
      </c>
      <c r="C837" s="5" t="str">
        <f t="shared" si="557"/>
        <v>CH</v>
      </c>
      <c r="D837" t="s">
        <v>2052</v>
      </c>
      <c r="E837" t="s">
        <v>8</v>
      </c>
      <c r="F837" s="1">
        <f t="shared" si="561"/>
        <v>0</v>
      </c>
      <c r="G837" s="1">
        <f t="shared" si="561"/>
        <v>0</v>
      </c>
      <c r="H837" s="1">
        <f t="shared" si="561"/>
        <v>0</v>
      </c>
      <c r="I837" s="1">
        <f t="shared" si="561"/>
        <v>0</v>
      </c>
      <c r="J837" s="1">
        <f t="shared" si="561"/>
        <v>0.21621173022976609</v>
      </c>
      <c r="K837" s="1">
        <f t="shared" si="561"/>
        <v>2.0988784623883019</v>
      </c>
    </row>
    <row r="838" spans="2:13" x14ac:dyDescent="0.35">
      <c r="B838" s="5" t="str">
        <f t="shared" si="554"/>
        <v>SPS2</v>
      </c>
      <c r="C838" s="5" t="str">
        <f t="shared" si="557"/>
        <v>CH</v>
      </c>
      <c r="D838" t="s">
        <v>2053</v>
      </c>
      <c r="E838" t="s">
        <v>8</v>
      </c>
      <c r="F838" s="1">
        <f t="shared" si="561"/>
        <v>0.79409917862412693</v>
      </c>
      <c r="G838" s="1">
        <f t="shared" si="561"/>
        <v>1.6918958670102342</v>
      </c>
      <c r="H838" s="1">
        <f t="shared" si="561"/>
        <v>3.1209601229241049</v>
      </c>
      <c r="I838" s="1">
        <f t="shared" si="561"/>
        <v>3.4583167600406814</v>
      </c>
      <c r="J838" s="1">
        <f t="shared" si="561"/>
        <v>1.716780780970691</v>
      </c>
      <c r="K838" s="1">
        <f t="shared" si="561"/>
        <v>0.69534291896944656</v>
      </c>
    </row>
    <row r="839" spans="2:13" x14ac:dyDescent="0.35">
      <c r="B839" s="5" t="str">
        <f t="shared" si="554"/>
        <v>SPS2</v>
      </c>
      <c r="C839" s="5" t="str">
        <f t="shared" si="557"/>
        <v>CH</v>
      </c>
      <c r="D839" t="s">
        <v>2054</v>
      </c>
      <c r="E839" t="s">
        <v>8</v>
      </c>
      <c r="F839" s="1">
        <f t="shared" si="561"/>
        <v>0</v>
      </c>
      <c r="G839" s="1">
        <f t="shared" si="561"/>
        <v>0</v>
      </c>
      <c r="H839" s="1">
        <f t="shared" si="561"/>
        <v>0</v>
      </c>
      <c r="I839" s="1">
        <f t="shared" si="561"/>
        <v>0</v>
      </c>
      <c r="J839" s="1">
        <f t="shared" si="561"/>
        <v>3.7663786134913568</v>
      </c>
      <c r="K839" s="1">
        <f t="shared" si="561"/>
        <v>8.2752222037675338</v>
      </c>
    </row>
    <row r="840" spans="2:13" x14ac:dyDescent="0.35">
      <c r="B840" s="5" t="str">
        <f t="shared" si="554"/>
        <v>SPS2</v>
      </c>
      <c r="C840" s="5" t="str">
        <f t="shared" si="557"/>
        <v>CH</v>
      </c>
      <c r="D840" t="s">
        <v>2055</v>
      </c>
      <c r="E840" t="s">
        <v>8</v>
      </c>
      <c r="F840" s="1">
        <f t="shared" si="561"/>
        <v>0</v>
      </c>
      <c r="G840" s="1">
        <f t="shared" si="561"/>
        <v>0</v>
      </c>
      <c r="H840" s="1">
        <f t="shared" si="561"/>
        <v>0</v>
      </c>
      <c r="I840" s="1">
        <f t="shared" si="561"/>
        <v>0</v>
      </c>
      <c r="J840" s="1">
        <f t="shared" si="561"/>
        <v>0.14365285085073437</v>
      </c>
      <c r="K840" s="1">
        <f t="shared" si="561"/>
        <v>9.5261923541150692E-2</v>
      </c>
      <c r="M840" s="1"/>
    </row>
    <row r="841" spans="2:13" x14ac:dyDescent="0.35">
      <c r="B841" s="5" t="str">
        <f t="shared" si="554"/>
        <v>SPS2</v>
      </c>
      <c r="C841" s="5" t="str">
        <f t="shared" si="557"/>
        <v>CH</v>
      </c>
      <c r="D841" t="s">
        <v>2056</v>
      </c>
      <c r="E841" t="s">
        <v>8</v>
      </c>
      <c r="F841" s="1">
        <f>[1]Industry!B$63</f>
        <v>6.5822970296946597</v>
      </c>
      <c r="G841" s="1">
        <f>[1]Industry!C$63</f>
        <v>7.0678545756143443</v>
      </c>
      <c r="H841" s="1">
        <f>[1]Industry!D$63</f>
        <v>6.8330336680462613</v>
      </c>
      <c r="I841" s="1">
        <f>[1]Industry!E$63</f>
        <v>7.209055832787481</v>
      </c>
      <c r="J841" s="1">
        <f>[1]Industry!F$63</f>
        <v>6.2967431184455966</v>
      </c>
      <c r="K841" s="1">
        <f>[1]Industry!G$63</f>
        <v>7.4716054712651792</v>
      </c>
    </row>
    <row r="842" spans="2:13" x14ac:dyDescent="0.35">
      <c r="B842" s="5" t="str">
        <f t="shared" si="554"/>
        <v>SPS2</v>
      </c>
      <c r="C842" s="5" t="str">
        <f t="shared" si="557"/>
        <v>CH</v>
      </c>
      <c r="D842" t="s">
        <v>2057</v>
      </c>
      <c r="E842" t="s">
        <v>8</v>
      </c>
      <c r="F842" s="1">
        <f>F843</f>
        <v>5.3111818985650077</v>
      </c>
      <c r="G842" s="1">
        <f t="shared" ref="G842:K842" si="562">G843</f>
        <v>6.2669700473221051</v>
      </c>
      <c r="H842" s="1">
        <f t="shared" si="562"/>
        <v>5.7947338959079637</v>
      </c>
      <c r="I842" s="1">
        <f t="shared" si="562"/>
        <v>6.7002007918438231</v>
      </c>
      <c r="J842" s="1">
        <f t="shared" si="562"/>
        <v>6.5850568685397946</v>
      </c>
      <c r="K842" s="1">
        <f t="shared" si="562"/>
        <v>5.4822214092260673</v>
      </c>
    </row>
    <row r="843" spans="2:13" x14ac:dyDescent="0.35">
      <c r="B843" s="5" t="str">
        <f t="shared" si="554"/>
        <v>SPS2</v>
      </c>
      <c r="C843" s="5" t="str">
        <f t="shared" si="557"/>
        <v>CH</v>
      </c>
      <c r="D843" t="s">
        <v>2058</v>
      </c>
      <c r="E843" t="s">
        <v>8</v>
      </c>
      <c r="F843" s="1">
        <f>[1]Industry!B$64</f>
        <v>5.3111818985650077</v>
      </c>
      <c r="G843" s="1">
        <f>[1]Industry!C$64</f>
        <v>6.2669700473221051</v>
      </c>
      <c r="H843" s="1">
        <f>[1]Industry!D$64</f>
        <v>5.7947338959079637</v>
      </c>
      <c r="I843" s="1">
        <f>[1]Industry!E$64</f>
        <v>6.7002007918438231</v>
      </c>
      <c r="J843" s="1">
        <f>[1]Industry!F$64</f>
        <v>6.5850568685397946</v>
      </c>
      <c r="K843" s="1">
        <f>[1]Industry!G$64</f>
        <v>5.4822214092260673</v>
      </c>
    </row>
    <row r="844" spans="2:13" x14ac:dyDescent="0.35">
      <c r="B844" s="5" t="str">
        <f t="shared" si="554"/>
        <v>SPS2</v>
      </c>
      <c r="C844" s="5" t="str">
        <f t="shared" si="557"/>
        <v>CH</v>
      </c>
      <c r="D844" t="s">
        <v>2059</v>
      </c>
      <c r="E844" t="s">
        <v>8</v>
      </c>
      <c r="F844" s="1">
        <f>F845</f>
        <v>0.46154685364200382</v>
      </c>
      <c r="G844" s="1">
        <f t="shared" ref="G844:K844" si="563">G845</f>
        <v>0.54458573935074583</v>
      </c>
      <c r="H844" s="1">
        <f t="shared" si="563"/>
        <v>0.54470924689888378</v>
      </c>
      <c r="I844" s="1">
        <f t="shared" si="563"/>
        <v>0.54474781208138556</v>
      </c>
      <c r="J844" s="1">
        <f t="shared" si="563"/>
        <v>0.54477789346138306</v>
      </c>
      <c r="K844" s="1">
        <f t="shared" si="563"/>
        <v>0.54478061647258103</v>
      </c>
    </row>
    <row r="845" spans="2:13" x14ac:dyDescent="0.35">
      <c r="B845" s="5" t="str">
        <f t="shared" si="554"/>
        <v>SPS2</v>
      </c>
      <c r="C845" s="5" t="str">
        <f t="shared" si="557"/>
        <v>CH</v>
      </c>
      <c r="D845" t="s">
        <v>2060</v>
      </c>
      <c r="E845" t="s">
        <v>8</v>
      </c>
      <c r="F845" s="1">
        <f>[1]Industry!B$65</f>
        <v>0.46154685364200382</v>
      </c>
      <c r="G845" s="1">
        <f>[1]Industry!C$65</f>
        <v>0.54458573935074583</v>
      </c>
      <c r="H845" s="1">
        <f>[1]Industry!D$65</f>
        <v>0.54470924689888378</v>
      </c>
      <c r="I845" s="1">
        <f>[1]Industry!E$65</f>
        <v>0.54474781208138556</v>
      </c>
      <c r="J845" s="1">
        <f>[1]Industry!F$65</f>
        <v>0.54477789346138306</v>
      </c>
      <c r="K845" s="1">
        <f>[1]Industry!G$65</f>
        <v>0.54478061647258103</v>
      </c>
    </row>
    <row r="846" spans="2:13" x14ac:dyDescent="0.35">
      <c r="B846" s="5" t="str">
        <f t="shared" si="554"/>
        <v>SPS2</v>
      </c>
      <c r="C846" s="5" t="str">
        <f t="shared" si="557"/>
        <v>CH</v>
      </c>
      <c r="D846" t="s">
        <v>2061</v>
      </c>
      <c r="E846" t="s">
        <v>8</v>
      </c>
      <c r="F846" s="1">
        <f>F847</f>
        <v>4.1173931982380569</v>
      </c>
      <c r="G846" s="1">
        <f t="shared" ref="G846:K846" si="564">G847</f>
        <v>4.2663697282865884</v>
      </c>
      <c r="H846" s="1">
        <f t="shared" si="564"/>
        <v>2.9612733629666783</v>
      </c>
      <c r="I846" s="1">
        <f t="shared" si="564"/>
        <v>3.1365761925957028</v>
      </c>
      <c r="J846" s="1">
        <f t="shared" si="564"/>
        <v>3.1031997750854781</v>
      </c>
      <c r="K846" s="1">
        <f t="shared" si="564"/>
        <v>1.4879024573294006E-4</v>
      </c>
    </row>
    <row r="847" spans="2:13" x14ac:dyDescent="0.35">
      <c r="B847" s="5" t="str">
        <f t="shared" si="554"/>
        <v>SPS2</v>
      </c>
      <c r="C847" s="5" t="str">
        <f t="shared" si="557"/>
        <v>CH</v>
      </c>
      <c r="D847" t="s">
        <v>2062</v>
      </c>
      <c r="E847" t="s">
        <v>8</v>
      </c>
      <c r="F847" s="1">
        <f>[1]Industry!B$66</f>
        <v>4.1173931982380569</v>
      </c>
      <c r="G847" s="1">
        <f>[1]Industry!C$66</f>
        <v>4.2663697282865884</v>
      </c>
      <c r="H847" s="1">
        <f>[1]Industry!D$66</f>
        <v>2.9612733629666783</v>
      </c>
      <c r="I847" s="1">
        <f>[1]Industry!E$66</f>
        <v>3.1365761925957028</v>
      </c>
      <c r="J847" s="1">
        <f>[1]Industry!F$66</f>
        <v>3.1031997750854781</v>
      </c>
      <c r="K847" s="1">
        <f>[1]Industry!G$66</f>
        <v>1.4879024573294006E-4</v>
      </c>
    </row>
    <row r="848" spans="2:13" x14ac:dyDescent="0.35">
      <c r="B848" s="5" t="str">
        <f t="shared" si="554"/>
        <v>SPS2</v>
      </c>
      <c r="C848" s="5" t="str">
        <f t="shared" si="557"/>
        <v>CH</v>
      </c>
      <c r="D848" t="s">
        <v>2063</v>
      </c>
      <c r="E848" t="s">
        <v>8</v>
      </c>
      <c r="F848" s="1">
        <f>F849</f>
        <v>6.7756660819850226E-2</v>
      </c>
      <c r="G848" s="1">
        <f t="shared" ref="G848:K848" si="565">G849</f>
        <v>8.5517462591914242E-2</v>
      </c>
      <c r="H848" s="1">
        <f t="shared" si="565"/>
        <v>8.5761572348039286E-2</v>
      </c>
      <c r="I848" s="1">
        <f t="shared" si="565"/>
        <v>2.3297851568660062</v>
      </c>
      <c r="J848" s="1">
        <f t="shared" si="565"/>
        <v>2.3214231209567906</v>
      </c>
      <c r="K848" s="1">
        <f t="shared" si="565"/>
        <v>1.6632643607977544</v>
      </c>
    </row>
    <row r="849" spans="2:11" x14ac:dyDescent="0.35">
      <c r="B849" s="5" t="str">
        <f t="shared" si="554"/>
        <v>SPS2</v>
      </c>
      <c r="C849" s="5" t="str">
        <f t="shared" si="557"/>
        <v>CH</v>
      </c>
      <c r="D849" t="s">
        <v>2064</v>
      </c>
      <c r="E849" t="s">
        <v>8</v>
      </c>
      <c r="F849" s="1">
        <f>[1]Industry!B$67</f>
        <v>6.7756660819850226E-2</v>
      </c>
      <c r="G849" s="1">
        <f>[1]Industry!C$67</f>
        <v>8.5517462591914242E-2</v>
      </c>
      <c r="H849" s="1">
        <f>[1]Industry!D$67</f>
        <v>8.5761572348039286E-2</v>
      </c>
      <c r="I849" s="1">
        <f>[1]Industry!E$67</f>
        <v>2.3297851568660062</v>
      </c>
      <c r="J849" s="1">
        <f>[1]Industry!F$67</f>
        <v>2.3214231209567906</v>
      </c>
      <c r="K849" s="1">
        <f>[1]Industry!G$67</f>
        <v>1.6632643607977544</v>
      </c>
    </row>
    <row r="850" spans="2:11" x14ac:dyDescent="0.35">
      <c r="B850" s="5" t="str">
        <f t="shared" si="554"/>
        <v>SPS2</v>
      </c>
      <c r="C850" s="5" t="str">
        <f t="shared" si="557"/>
        <v>CH</v>
      </c>
      <c r="D850" t="s">
        <v>2065</v>
      </c>
      <c r="E850" t="s">
        <v>8</v>
      </c>
      <c r="F850" s="1">
        <f>F851</f>
        <v>0</v>
      </c>
      <c r="G850" s="1">
        <f t="shared" ref="G850:K850" si="566">G851</f>
        <v>0</v>
      </c>
      <c r="H850" s="1">
        <f t="shared" si="566"/>
        <v>0</v>
      </c>
      <c r="I850" s="1">
        <f t="shared" si="566"/>
        <v>0</v>
      </c>
      <c r="J850" s="1">
        <f t="shared" si="566"/>
        <v>12.949414394482412</v>
      </c>
      <c r="K850" s="1">
        <f t="shared" si="566"/>
        <v>17.393372641604888</v>
      </c>
    </row>
    <row r="851" spans="2:11" x14ac:dyDescent="0.35">
      <c r="B851" s="5" t="str">
        <f t="shared" si="554"/>
        <v>SPS2</v>
      </c>
      <c r="C851" s="5" t="str">
        <f t="shared" si="557"/>
        <v>CH</v>
      </c>
      <c r="D851" t="s">
        <v>2066</v>
      </c>
      <c r="E851" t="s">
        <v>8</v>
      </c>
      <c r="F851" s="1">
        <f>[1]Industry!B$69</f>
        <v>0</v>
      </c>
      <c r="G851" s="1">
        <f>[1]Industry!C$69</f>
        <v>0</v>
      </c>
      <c r="H851" s="1">
        <f>[1]Industry!D$69</f>
        <v>0</v>
      </c>
      <c r="I851" s="1">
        <f>[1]Industry!E$69</f>
        <v>0</v>
      </c>
      <c r="J851" s="1">
        <f>[1]Industry!F$69</f>
        <v>12.949414394482412</v>
      </c>
      <c r="K851" s="1">
        <f>[1]Industry!G$69</f>
        <v>17.393372641604888</v>
      </c>
    </row>
    <row r="852" spans="2:11" x14ac:dyDescent="0.35">
      <c r="B852" s="5" t="str">
        <f t="shared" si="554"/>
        <v>SPS2</v>
      </c>
      <c r="C852" s="5" t="str">
        <f t="shared" si="557"/>
        <v>CH</v>
      </c>
      <c r="D852" t="s">
        <v>2067</v>
      </c>
      <c r="E852" t="s">
        <v>8</v>
      </c>
      <c r="F852" s="1">
        <f>SUM(F853:F854)</f>
        <v>0</v>
      </c>
      <c r="G852" s="1">
        <f t="shared" ref="G852:K852" si="567">SUM(G853:G854)</f>
        <v>4.8943507784783788</v>
      </c>
      <c r="H852" s="1">
        <f t="shared" si="567"/>
        <v>4.8943776599225197</v>
      </c>
      <c r="I852" s="1">
        <f t="shared" si="567"/>
        <v>5.620105213190155</v>
      </c>
      <c r="J852" s="1">
        <f t="shared" si="567"/>
        <v>13.722094500091645</v>
      </c>
      <c r="K852" s="1">
        <f t="shared" si="567"/>
        <v>13.722121942310171</v>
      </c>
    </row>
    <row r="853" spans="2:11" x14ac:dyDescent="0.35">
      <c r="B853" s="5" t="str">
        <f t="shared" si="554"/>
        <v>SPS2</v>
      </c>
      <c r="C853" s="5" t="str">
        <f t="shared" si="557"/>
        <v>CH</v>
      </c>
      <c r="D853" t="s">
        <v>2068</v>
      </c>
      <c r="E853" t="s">
        <v>8</v>
      </c>
      <c r="F853" s="1">
        <f>[1]Industry!B$6-F854</f>
        <v>0</v>
      </c>
      <c r="G853" s="1">
        <f>[1]Industry!C$6-G854</f>
        <v>0.85062180112009056</v>
      </c>
      <c r="H853" s="1">
        <f>[1]Industry!D$6-H854</f>
        <v>0.85062647302520578</v>
      </c>
      <c r="I853" s="1">
        <f>[1]Industry!E$6-I854</f>
        <v>0.9839715811055525</v>
      </c>
      <c r="J853" s="1">
        <f>[1]Industry!F$6-J854</f>
        <v>4.0032628356342492</v>
      </c>
      <c r="K853" s="1">
        <f>[1]Industry!G$6-K854</f>
        <v>4.0032327527010896</v>
      </c>
    </row>
    <row r="854" spans="2:11" x14ac:dyDescent="0.35">
      <c r="B854" s="5" t="str">
        <f t="shared" si="554"/>
        <v>SPS2</v>
      </c>
      <c r="C854" s="5" t="str">
        <f t="shared" si="557"/>
        <v>CH</v>
      </c>
      <c r="D854" t="s">
        <v>2069</v>
      </c>
      <c r="E854" t="s">
        <v>8</v>
      </c>
      <c r="F854" s="1">
        <f>[1]Industry!B$70</f>
        <v>0</v>
      </c>
      <c r="G854" s="1">
        <f>[1]Industry!C$70</f>
        <v>4.0437289773582883</v>
      </c>
      <c r="H854" s="1">
        <f>[1]Industry!D$70</f>
        <v>4.0437511868973139</v>
      </c>
      <c r="I854" s="1">
        <f>[1]Industry!E$70</f>
        <v>4.6361336320846025</v>
      </c>
      <c r="J854" s="1">
        <f>[1]Industry!F$70</f>
        <v>9.7188316644573955</v>
      </c>
      <c r="K854" s="1">
        <f>[1]Industry!G$70</f>
        <v>9.7188891896090812</v>
      </c>
    </row>
    <row r="855" spans="2:11" x14ac:dyDescent="0.35">
      <c r="B855" s="9" t="str">
        <f t="shared" si="554"/>
        <v>SPS2</v>
      </c>
      <c r="C855" s="9" t="str">
        <f>C854</f>
        <v>CH</v>
      </c>
      <c r="D855" s="2" t="s">
        <v>687</v>
      </c>
      <c r="E855" s="2" t="s">
        <v>240</v>
      </c>
      <c r="F855" s="1" t="s">
        <v>292</v>
      </c>
      <c r="G855" s="1" t="s">
        <v>292</v>
      </c>
      <c r="H855" s="1" t="s">
        <v>292</v>
      </c>
      <c r="I855" s="1" t="s">
        <v>292</v>
      </c>
      <c r="J855" s="1" t="s">
        <v>292</v>
      </c>
      <c r="K855" s="1" t="s">
        <v>292</v>
      </c>
    </row>
    <row r="856" spans="2:11" x14ac:dyDescent="0.35">
      <c r="B856" s="5" t="str">
        <f t="shared" si="554"/>
        <v>SPS2</v>
      </c>
      <c r="C856" s="5" t="str">
        <f>C855</f>
        <v>CH</v>
      </c>
      <c r="D856" t="s">
        <v>2070</v>
      </c>
      <c r="E856" t="s">
        <v>240</v>
      </c>
      <c r="F856" s="4">
        <f>IFERROR(F818/F763,"-")</f>
        <v>0.84261542941328493</v>
      </c>
      <c r="G856" s="4">
        <f t="shared" ref="G856:K856" si="568">IFERROR(G818/G763,"-")</f>
        <v>0.84306236513985333</v>
      </c>
      <c r="H856" s="4">
        <f t="shared" si="568"/>
        <v>0.84373276872970615</v>
      </c>
      <c r="I856" s="4">
        <f t="shared" si="568"/>
        <v>0.84485010804612992</v>
      </c>
      <c r="J856" s="4">
        <f t="shared" si="568"/>
        <v>0.8470847866789768</v>
      </c>
      <c r="K856" s="4">
        <f t="shared" si="568"/>
        <v>0.84931946531182279</v>
      </c>
    </row>
    <row r="857" spans="2:11" x14ac:dyDescent="0.35">
      <c r="B857" s="5" t="str">
        <f t="shared" si="554"/>
        <v>SPS2</v>
      </c>
      <c r="C857" s="5" t="str">
        <f t="shared" ref="C857:C879" si="569">C856</f>
        <v>CH</v>
      </c>
      <c r="D857" t="s">
        <v>2071</v>
      </c>
      <c r="E857" t="s">
        <v>240</v>
      </c>
      <c r="F857" s="4">
        <f t="shared" ref="F857:K857" si="570">IFERROR(F819/F764,"-")</f>
        <v>3.0809801822513281</v>
      </c>
      <c r="G857" s="4">
        <f t="shared" si="570"/>
        <v>3.1055374774069113</v>
      </c>
      <c r="H857" s="4">
        <f t="shared" si="570"/>
        <v>3.1423734201402858</v>
      </c>
      <c r="I857" s="4">
        <f t="shared" si="570"/>
        <v>3.2037666580292452</v>
      </c>
      <c r="J857" s="4">
        <f t="shared" si="570"/>
        <v>3.3265531338071734</v>
      </c>
      <c r="K857" s="4">
        <f t="shared" si="570"/>
        <v>3.4493396095850883</v>
      </c>
    </row>
    <row r="858" spans="2:11" x14ac:dyDescent="0.35">
      <c r="B858" s="5" t="str">
        <f t="shared" si="554"/>
        <v>SPS2</v>
      </c>
      <c r="C858" s="5" t="str">
        <f t="shared" si="569"/>
        <v>CH</v>
      </c>
      <c r="D858" t="s">
        <v>2072</v>
      </c>
      <c r="E858" t="s">
        <v>240</v>
      </c>
      <c r="F858" s="4">
        <f t="shared" ref="F858:K858" si="571">IFERROR(F820/F765,"-")</f>
        <v>0.99999999999999989</v>
      </c>
      <c r="G858" s="4">
        <f t="shared" si="571"/>
        <v>0.99999986539701113</v>
      </c>
      <c r="H858" s="4">
        <f t="shared" si="571"/>
        <v>0.99999987245514066</v>
      </c>
      <c r="I858" s="4">
        <f t="shared" si="571"/>
        <v>1.0000038960935127</v>
      </c>
      <c r="J858" s="4">
        <f t="shared" si="571"/>
        <v>1.0009519719465318</v>
      </c>
      <c r="K858" s="4">
        <f t="shared" si="571"/>
        <v>0.96148585197757264</v>
      </c>
    </row>
    <row r="859" spans="2:11" x14ac:dyDescent="0.35">
      <c r="B859" s="5" t="str">
        <f t="shared" si="554"/>
        <v>SPS2</v>
      </c>
      <c r="C859" s="5" t="str">
        <f t="shared" si="569"/>
        <v>CH</v>
      </c>
      <c r="D859" t="s">
        <v>2073</v>
      </c>
      <c r="E859" t="s">
        <v>240</v>
      </c>
      <c r="F859" s="4">
        <f>IFERROR(F822/F767,"-")</f>
        <v>0.77746213224363503</v>
      </c>
      <c r="G859" s="4">
        <f t="shared" ref="G859:K860" si="572">IFERROR(G822/G767,"-")</f>
        <v>0.77871988564932415</v>
      </c>
      <c r="H859" s="4">
        <f t="shared" si="572"/>
        <v>0.78060651575785467</v>
      </c>
      <c r="I859" s="4">
        <f t="shared" si="572"/>
        <v>0.78375089927207786</v>
      </c>
      <c r="J859" s="4">
        <f t="shared" si="572"/>
        <v>0.79003966630051881</v>
      </c>
      <c r="K859" s="4">
        <f t="shared" si="572"/>
        <v>0.79632843332896153</v>
      </c>
    </row>
    <row r="860" spans="2:11" x14ac:dyDescent="0.35">
      <c r="B860" s="5" t="str">
        <f t="shared" si="554"/>
        <v>SPS2</v>
      </c>
      <c r="C860" s="5" t="str">
        <f t="shared" si="569"/>
        <v>CH</v>
      </c>
      <c r="D860" t="s">
        <v>2074</v>
      </c>
      <c r="E860" t="s">
        <v>240</v>
      </c>
      <c r="F860" s="4">
        <f>IFERROR(F823/F768,"-")</f>
        <v>0.67612499999999998</v>
      </c>
      <c r="G860" s="4">
        <f t="shared" si="572"/>
        <v>0.67904999999999993</v>
      </c>
      <c r="H860" s="4">
        <f t="shared" si="572"/>
        <v>0.68343749999999992</v>
      </c>
      <c r="I860" s="4">
        <f t="shared" si="572"/>
        <v>0.69074999999999998</v>
      </c>
      <c r="J860" s="4">
        <f t="shared" si="572"/>
        <v>0.70537500000000009</v>
      </c>
      <c r="K860" s="4" t="str">
        <f t="shared" si="572"/>
        <v>-</v>
      </c>
    </row>
    <row r="861" spans="2:11" x14ac:dyDescent="0.35">
      <c r="B861" s="5" t="str">
        <f t="shared" si="554"/>
        <v>SPS2</v>
      </c>
      <c r="C861" s="5" t="str">
        <f t="shared" si="569"/>
        <v>CH</v>
      </c>
      <c r="D861" t="s">
        <v>2075</v>
      </c>
      <c r="E861" t="s">
        <v>240</v>
      </c>
      <c r="F861" s="4">
        <f>IFERROR(F825/F777,"-")</f>
        <v>0.80515289226746001</v>
      </c>
      <c r="G861" s="4">
        <f t="shared" ref="G861:K863" si="573">IFERROR(G825/G777,"-")</f>
        <v>0.8058804394245247</v>
      </c>
      <c r="H861" s="4">
        <f t="shared" si="573"/>
        <v>0.80637951279273046</v>
      </c>
      <c r="I861" s="4">
        <f t="shared" si="573"/>
        <v>0.80830267377097753</v>
      </c>
      <c r="J861" s="4">
        <f t="shared" si="573"/>
        <v>0.83576920745824801</v>
      </c>
      <c r="K861" s="4">
        <f t="shared" si="573"/>
        <v>0.83809777284109443</v>
      </c>
    </row>
    <row r="862" spans="2:11" x14ac:dyDescent="0.35">
      <c r="B862" s="5" t="str">
        <f t="shared" si="554"/>
        <v>SPS2</v>
      </c>
      <c r="C862" s="5" t="str">
        <f t="shared" si="569"/>
        <v>CH</v>
      </c>
      <c r="D862" t="s">
        <v>2076</v>
      </c>
      <c r="E862" t="s">
        <v>240</v>
      </c>
      <c r="F862" s="4">
        <f>IFERROR(F826/F778,"-")</f>
        <v>0</v>
      </c>
      <c r="G862" s="4">
        <f t="shared" si="573"/>
        <v>0</v>
      </c>
      <c r="H862" s="4" t="str">
        <f t="shared" si="573"/>
        <v>-</v>
      </c>
      <c r="I862" s="4" t="str">
        <f t="shared" si="573"/>
        <v>-</v>
      </c>
      <c r="J862" s="4" t="str">
        <f t="shared" si="573"/>
        <v>-</v>
      </c>
      <c r="K862" s="4" t="str">
        <f t="shared" si="573"/>
        <v>-</v>
      </c>
    </row>
    <row r="863" spans="2:11" x14ac:dyDescent="0.35">
      <c r="B863" s="5" t="str">
        <f t="shared" si="554"/>
        <v>SPS2</v>
      </c>
      <c r="C863" s="5" t="str">
        <f t="shared" si="569"/>
        <v>CH</v>
      </c>
      <c r="D863" t="s">
        <v>2077</v>
      </c>
      <c r="E863" t="s">
        <v>240</v>
      </c>
      <c r="F863" s="4">
        <f>IFERROR(F827/F779,"-")</f>
        <v>0.70041048124391758</v>
      </c>
      <c r="G863" s="4">
        <f t="shared" si="573"/>
        <v>0.70288909993064308</v>
      </c>
      <c r="H863" s="4">
        <f t="shared" si="573"/>
        <v>0.71100000000000152</v>
      </c>
      <c r="I863" s="4">
        <f t="shared" si="573"/>
        <v>0.71099999999999974</v>
      </c>
      <c r="J863" s="4">
        <f t="shared" si="573"/>
        <v>0.71100000000000063</v>
      </c>
      <c r="K863" s="4">
        <f t="shared" si="573"/>
        <v>0.71999999999999986</v>
      </c>
    </row>
    <row r="864" spans="2:11" x14ac:dyDescent="0.35">
      <c r="B864" s="5" t="str">
        <f t="shared" si="554"/>
        <v>SPS2</v>
      </c>
      <c r="C864" s="5" t="str">
        <f t="shared" si="569"/>
        <v>CH</v>
      </c>
      <c r="D864" t="s">
        <v>2078</v>
      </c>
      <c r="E864" t="s">
        <v>240</v>
      </c>
      <c r="F864" s="4">
        <f>IFERROR(F829/F788,"-")</f>
        <v>0.66499999999999926</v>
      </c>
      <c r="G864" s="4">
        <f t="shared" ref="G864:K864" si="574">IFERROR(G829/G788,"-")</f>
        <v>0.66600000000000092</v>
      </c>
      <c r="H864" s="4">
        <f t="shared" si="574"/>
        <v>0.66749999999999976</v>
      </c>
      <c r="I864" s="4">
        <f t="shared" si="574"/>
        <v>0.67000000000000048</v>
      </c>
      <c r="J864" s="4">
        <f t="shared" si="574"/>
        <v>0.6750000000000006</v>
      </c>
      <c r="K864" s="4">
        <f t="shared" si="574"/>
        <v>0.67999999999999927</v>
      </c>
    </row>
    <row r="865" spans="2:12" x14ac:dyDescent="0.35">
      <c r="B865" s="5" t="str">
        <f t="shared" si="554"/>
        <v>SPS2</v>
      </c>
      <c r="C865" s="5" t="str">
        <f t="shared" si="569"/>
        <v>CH</v>
      </c>
      <c r="D865" t="s">
        <v>2079</v>
      </c>
      <c r="E865" t="s">
        <v>240</v>
      </c>
      <c r="F865" s="4">
        <f>IFERROR(F832/F791,"-")</f>
        <v>1.2037342009095171</v>
      </c>
      <c r="G865" s="4">
        <f t="shared" ref="G865:K865" si="575">IFERROR(G832/G791,"-")</f>
        <v>0.94860460265968694</v>
      </c>
      <c r="H865" s="4">
        <f t="shared" si="575"/>
        <v>0.93632045705868705</v>
      </c>
      <c r="I865" s="4">
        <f t="shared" si="575"/>
        <v>0.93737882309037979</v>
      </c>
      <c r="J865" s="4" t="str">
        <f t="shared" si="575"/>
        <v>-</v>
      </c>
      <c r="K865" s="4" t="str">
        <f t="shared" si="575"/>
        <v>-</v>
      </c>
    </row>
    <row r="866" spans="2:12" x14ac:dyDescent="0.35">
      <c r="B866" s="5" t="str">
        <f t="shared" si="554"/>
        <v>SPS2</v>
      </c>
      <c r="C866" s="5" t="str">
        <f t="shared" si="569"/>
        <v>CH</v>
      </c>
      <c r="D866" t="s">
        <v>2080</v>
      </c>
      <c r="E866" t="s">
        <v>240</v>
      </c>
      <c r="F866" s="4">
        <f t="shared" ref="F866:K874" si="576">IFERROR(F833/F792,"-")</f>
        <v>1.2037342009095173</v>
      </c>
      <c r="G866" s="4">
        <f t="shared" si="576"/>
        <v>0.94860460265968694</v>
      </c>
      <c r="H866" s="4">
        <f t="shared" si="576"/>
        <v>0.93632045705868705</v>
      </c>
      <c r="I866" s="4">
        <f t="shared" si="576"/>
        <v>0.93737882309037979</v>
      </c>
      <c r="J866" s="4">
        <f t="shared" si="576"/>
        <v>0.94205285701343799</v>
      </c>
      <c r="K866" s="4">
        <f t="shared" si="576"/>
        <v>0.94731620934871408</v>
      </c>
    </row>
    <row r="867" spans="2:12" x14ac:dyDescent="0.35">
      <c r="B867" s="5" t="str">
        <f t="shared" si="554"/>
        <v>SPS2</v>
      </c>
      <c r="C867" s="5" t="str">
        <f t="shared" si="569"/>
        <v>CH</v>
      </c>
      <c r="D867" t="s">
        <v>2081</v>
      </c>
      <c r="E867" t="s">
        <v>240</v>
      </c>
      <c r="F867" s="4" t="str">
        <f t="shared" si="576"/>
        <v>-</v>
      </c>
      <c r="G867" s="4" t="str">
        <f t="shared" si="576"/>
        <v>-</v>
      </c>
      <c r="H867" s="4" t="str">
        <f t="shared" si="576"/>
        <v>-</v>
      </c>
      <c r="I867" s="4" t="str">
        <f t="shared" si="576"/>
        <v>-</v>
      </c>
      <c r="J867" s="4">
        <f t="shared" si="576"/>
        <v>0.94205285701343799</v>
      </c>
      <c r="K867" s="4">
        <f t="shared" si="576"/>
        <v>0.94731620934871419</v>
      </c>
    </row>
    <row r="868" spans="2:12" x14ac:dyDescent="0.35">
      <c r="B868" s="5" t="str">
        <f t="shared" si="554"/>
        <v>SPS2</v>
      </c>
      <c r="C868" s="5" t="str">
        <f t="shared" si="569"/>
        <v>CH</v>
      </c>
      <c r="D868" t="s">
        <v>2082</v>
      </c>
      <c r="E868" t="s">
        <v>240</v>
      </c>
      <c r="F868" s="4" t="str">
        <f t="shared" si="576"/>
        <v>-</v>
      </c>
      <c r="G868" s="4" t="str">
        <f t="shared" si="576"/>
        <v>-</v>
      </c>
      <c r="H868" s="4" t="str">
        <f t="shared" si="576"/>
        <v>-</v>
      </c>
      <c r="I868" s="4" t="str">
        <f t="shared" si="576"/>
        <v>-</v>
      </c>
      <c r="J868" s="4">
        <f t="shared" si="576"/>
        <v>0.94205285701343799</v>
      </c>
      <c r="K868" s="4">
        <f t="shared" si="576"/>
        <v>0.94731620934871419</v>
      </c>
    </row>
    <row r="869" spans="2:12" x14ac:dyDescent="0.35">
      <c r="B869" s="5" t="str">
        <f t="shared" si="554"/>
        <v>SPS2</v>
      </c>
      <c r="C869" s="5" t="str">
        <f t="shared" si="569"/>
        <v>CH</v>
      </c>
      <c r="D869" t="s">
        <v>2083</v>
      </c>
      <c r="E869" t="s">
        <v>240</v>
      </c>
      <c r="F869" s="4">
        <f t="shared" si="576"/>
        <v>1.2037342009095171</v>
      </c>
      <c r="G869" s="4">
        <f t="shared" si="576"/>
        <v>0.94860460265968705</v>
      </c>
      <c r="H869" s="4">
        <f t="shared" si="576"/>
        <v>0.93632045705868716</v>
      </c>
      <c r="I869" s="4">
        <f t="shared" si="576"/>
        <v>0.93737882309037979</v>
      </c>
      <c r="J869" s="4">
        <f t="shared" si="576"/>
        <v>0.94205285701343788</v>
      </c>
      <c r="K869" s="4">
        <f t="shared" si="576"/>
        <v>0.94731620934871419</v>
      </c>
    </row>
    <row r="870" spans="2:12" x14ac:dyDescent="0.35">
      <c r="B870" s="5" t="str">
        <f t="shared" si="554"/>
        <v>SPS2</v>
      </c>
      <c r="C870" s="5" t="str">
        <f t="shared" si="569"/>
        <v>CH</v>
      </c>
      <c r="D870" t="s">
        <v>2084</v>
      </c>
      <c r="E870" t="s">
        <v>240</v>
      </c>
      <c r="F870" s="4" t="str">
        <f t="shared" si="576"/>
        <v>-</v>
      </c>
      <c r="G870" s="4" t="str">
        <f t="shared" si="576"/>
        <v>-</v>
      </c>
      <c r="H870" s="4" t="str">
        <f t="shared" si="576"/>
        <v>-</v>
      </c>
      <c r="I870" s="4" t="str">
        <f t="shared" si="576"/>
        <v>-</v>
      </c>
      <c r="J870" s="4">
        <f t="shared" si="576"/>
        <v>0.94205285701343788</v>
      </c>
      <c r="K870" s="4">
        <f t="shared" si="576"/>
        <v>0.94731620934871408</v>
      </c>
    </row>
    <row r="871" spans="2:12" x14ac:dyDescent="0.35">
      <c r="B871" s="5" t="str">
        <f t="shared" si="554"/>
        <v>SPS2</v>
      </c>
      <c r="C871" s="5" t="str">
        <f t="shared" si="569"/>
        <v>CH</v>
      </c>
      <c r="D871" t="s">
        <v>2085</v>
      </c>
      <c r="E871" t="s">
        <v>240</v>
      </c>
      <c r="F871" s="4">
        <f t="shared" si="576"/>
        <v>1.2037342009095171</v>
      </c>
      <c r="G871" s="4">
        <f t="shared" si="576"/>
        <v>0.94860460265968694</v>
      </c>
      <c r="H871" s="4">
        <f t="shared" si="576"/>
        <v>0.93632045705868727</v>
      </c>
      <c r="I871" s="4">
        <f t="shared" si="576"/>
        <v>0.93737882309037979</v>
      </c>
      <c r="J871" s="4">
        <f t="shared" si="576"/>
        <v>0.94205285701343788</v>
      </c>
      <c r="K871" s="4">
        <f t="shared" si="576"/>
        <v>0.94731620934871408</v>
      </c>
    </row>
    <row r="872" spans="2:12" x14ac:dyDescent="0.35">
      <c r="B872" s="5" t="str">
        <f t="shared" si="554"/>
        <v>SPS2</v>
      </c>
      <c r="C872" s="5" t="str">
        <f t="shared" si="569"/>
        <v>CH</v>
      </c>
      <c r="D872" t="s">
        <v>2086</v>
      </c>
      <c r="E872" t="s">
        <v>240</v>
      </c>
      <c r="F872" s="4" t="str">
        <f t="shared" si="576"/>
        <v>-</v>
      </c>
      <c r="G872" s="4" t="str">
        <f t="shared" si="576"/>
        <v>-</v>
      </c>
      <c r="H872" s="4" t="str">
        <f t="shared" si="576"/>
        <v>-</v>
      </c>
      <c r="I872" s="4" t="str">
        <f t="shared" si="576"/>
        <v>-</v>
      </c>
      <c r="J872" s="4">
        <f t="shared" si="576"/>
        <v>0.94205285701343788</v>
      </c>
      <c r="K872" s="4">
        <f t="shared" si="576"/>
        <v>0.94731620934871419</v>
      </c>
    </row>
    <row r="873" spans="2:12" x14ac:dyDescent="0.35">
      <c r="B873" s="5" t="str">
        <f t="shared" si="554"/>
        <v>SPS2</v>
      </c>
      <c r="C873" s="5" t="str">
        <f t="shared" si="569"/>
        <v>CH</v>
      </c>
      <c r="D873" t="s">
        <v>2087</v>
      </c>
      <c r="E873" t="s">
        <v>240</v>
      </c>
      <c r="F873" s="4" t="str">
        <f t="shared" si="576"/>
        <v>-</v>
      </c>
      <c r="G873" s="4" t="str">
        <f t="shared" si="576"/>
        <v>-</v>
      </c>
      <c r="H873" s="4" t="str">
        <f t="shared" si="576"/>
        <v>-</v>
      </c>
      <c r="I873" s="4" t="str">
        <f t="shared" si="576"/>
        <v>-</v>
      </c>
      <c r="J873" s="4">
        <f t="shared" si="576"/>
        <v>0.94205285701343811</v>
      </c>
      <c r="K873" s="4">
        <f t="shared" si="576"/>
        <v>0.94731620934871408</v>
      </c>
    </row>
    <row r="874" spans="2:12" x14ac:dyDescent="0.35">
      <c r="B874" s="5" t="str">
        <f t="shared" si="554"/>
        <v>SPS2</v>
      </c>
      <c r="C874" s="5" t="str">
        <f t="shared" si="569"/>
        <v>CH</v>
      </c>
      <c r="D874" t="s">
        <v>2088</v>
      </c>
      <c r="E874" t="s">
        <v>240</v>
      </c>
      <c r="F874" s="4">
        <f t="shared" si="576"/>
        <v>0.92447626236575153</v>
      </c>
      <c r="G874" s="4">
        <f t="shared" si="576"/>
        <v>0.92645636412827281</v>
      </c>
      <c r="H874" s="4">
        <f t="shared" si="576"/>
        <v>0.92942651677205423</v>
      </c>
      <c r="I874" s="4">
        <f t="shared" si="576"/>
        <v>0.93437677117835871</v>
      </c>
      <c r="J874" s="4">
        <f t="shared" si="576"/>
        <v>0.94427727999096633</v>
      </c>
      <c r="K874" s="4">
        <f>IFERROR(K841/K800,"-")</f>
        <v>0.94999999999999951</v>
      </c>
    </row>
    <row r="875" spans="2:12" x14ac:dyDescent="0.35">
      <c r="B875" s="5" t="str">
        <f t="shared" si="554"/>
        <v>SPS2</v>
      </c>
      <c r="C875" s="5" t="str">
        <f t="shared" si="569"/>
        <v>CH</v>
      </c>
      <c r="D875" t="s">
        <v>2089</v>
      </c>
      <c r="E875" t="s">
        <v>240</v>
      </c>
      <c r="F875" s="4">
        <f>IFERROR(F843/F802,"-")</f>
        <v>0.5900000000000003</v>
      </c>
      <c r="G875" s="4">
        <f t="shared" ref="G875:K875" si="577">IFERROR(G843/G802,"-")</f>
        <v>0.59066666666666678</v>
      </c>
      <c r="H875" s="4">
        <f t="shared" si="577"/>
        <v>0.59166666666666634</v>
      </c>
      <c r="I875" s="4">
        <f t="shared" si="577"/>
        <v>0.59333333333333271</v>
      </c>
      <c r="J875" s="4">
        <f t="shared" si="577"/>
        <v>0.5966666666666679</v>
      </c>
      <c r="K875" s="4">
        <f t="shared" si="577"/>
        <v>0.59999999999999976</v>
      </c>
    </row>
    <row r="876" spans="2:12" x14ac:dyDescent="0.35">
      <c r="B876" s="5" t="str">
        <f t="shared" si="554"/>
        <v>SPS2</v>
      </c>
      <c r="C876" s="5" t="str">
        <f t="shared" si="569"/>
        <v>CH</v>
      </c>
      <c r="D876" t="s">
        <v>2090</v>
      </c>
      <c r="E876" t="s">
        <v>240</v>
      </c>
      <c r="F876" s="4">
        <f>IFERROR(F845/F804,"-")</f>
        <v>0.73750000000000004</v>
      </c>
      <c r="G876" s="4">
        <f t="shared" ref="G876:K876" si="578">IFERROR(G845/G804,"-")</f>
        <v>0.73833333333333306</v>
      </c>
      <c r="H876" s="4">
        <f t="shared" si="578"/>
        <v>0.73958333333333259</v>
      </c>
      <c r="I876" s="4">
        <f t="shared" si="578"/>
        <v>0.74166666666666758</v>
      </c>
      <c r="J876" s="4">
        <f t="shared" si="578"/>
        <v>0.7458333333333329</v>
      </c>
      <c r="K876" s="4">
        <f t="shared" si="578"/>
        <v>0.74999999999999978</v>
      </c>
    </row>
    <row r="877" spans="2:12" x14ac:dyDescent="0.35">
      <c r="B877" s="5" t="str">
        <f t="shared" si="554"/>
        <v>SPS2</v>
      </c>
      <c r="C877" s="5" t="str">
        <f t="shared" si="569"/>
        <v>CH</v>
      </c>
      <c r="D877" t="s">
        <v>2091</v>
      </c>
      <c r="E877" t="s">
        <v>240</v>
      </c>
      <c r="F877" s="4">
        <f>IFERROR(F847/F806,"-")</f>
        <v>0.5279999999999998</v>
      </c>
      <c r="G877" s="4">
        <f t="shared" ref="G877:K877" si="579">IFERROR(G847/G806,"-")</f>
        <v>0.52799999999999991</v>
      </c>
      <c r="H877" s="4">
        <f t="shared" si="579"/>
        <v>0.52800000000000025</v>
      </c>
      <c r="I877" s="4">
        <f t="shared" si="579"/>
        <v>0.52800000000000025</v>
      </c>
      <c r="J877" s="4">
        <f t="shared" si="579"/>
        <v>0.52799999999999991</v>
      </c>
      <c r="K877" s="4">
        <f t="shared" si="579"/>
        <v>0.54400000000000037</v>
      </c>
    </row>
    <row r="878" spans="2:12" x14ac:dyDescent="0.35">
      <c r="B878" s="5" t="str">
        <f t="shared" si="554"/>
        <v>SPS2</v>
      </c>
      <c r="C878" s="5" t="str">
        <f t="shared" si="569"/>
        <v>CH</v>
      </c>
      <c r="D878" t="s">
        <v>2092</v>
      </c>
      <c r="E878" t="s">
        <v>240</v>
      </c>
      <c r="F878" s="4">
        <f>IFERROR(F849/F810,"-")</f>
        <v>1</v>
      </c>
      <c r="G878" s="4">
        <f t="shared" ref="G878:K878" si="580">IFERROR(G849/G810,"-")</f>
        <v>1</v>
      </c>
      <c r="H878" s="4">
        <f t="shared" si="580"/>
        <v>1</v>
      </c>
      <c r="I878" s="4">
        <f t="shared" si="580"/>
        <v>1</v>
      </c>
      <c r="J878" s="4">
        <f t="shared" si="580"/>
        <v>1</v>
      </c>
      <c r="K878" s="4">
        <f t="shared" si="580"/>
        <v>1</v>
      </c>
    </row>
    <row r="879" spans="2:12" x14ac:dyDescent="0.35">
      <c r="B879" s="5" t="str">
        <f t="shared" si="554"/>
        <v>SPS2</v>
      </c>
      <c r="C879" s="5" t="str">
        <f t="shared" si="569"/>
        <v>CH</v>
      </c>
      <c r="D879" t="s">
        <v>2093</v>
      </c>
      <c r="E879" t="s">
        <v>240</v>
      </c>
      <c r="F879" s="4" t="str">
        <f>IFERROR(F851/F812,"-")</f>
        <v>-</v>
      </c>
      <c r="G879" s="4" t="str">
        <f t="shared" ref="G879:K879" si="581">IFERROR(G851/G812,"-")</f>
        <v>-</v>
      </c>
      <c r="H879" s="4" t="str">
        <f t="shared" si="581"/>
        <v>-</v>
      </c>
      <c r="I879" s="4" t="str">
        <f t="shared" si="581"/>
        <v>-</v>
      </c>
      <c r="J879" s="4">
        <f t="shared" si="581"/>
        <v>0.80246653502181731</v>
      </c>
      <c r="K879" s="4">
        <f t="shared" si="581"/>
        <v>0.8097886757237609</v>
      </c>
    </row>
    <row r="880" spans="2:12" x14ac:dyDescent="0.35">
      <c r="B880" s="9" t="str">
        <f t="shared" si="554"/>
        <v>SPS2</v>
      </c>
      <c r="C880" s="9" t="str">
        <f>C814</f>
        <v>CH</v>
      </c>
      <c r="D880" s="2" t="s">
        <v>674</v>
      </c>
      <c r="E880" s="9" t="s">
        <v>8</v>
      </c>
      <c r="F880" s="17">
        <f t="shared" ref="F880:K880" si="582">F881+F885+F892+F903+F911+F913+F915+F917+F921</f>
        <v>140.10140986175077</v>
      </c>
      <c r="G880" s="17">
        <f t="shared" si="582"/>
        <v>136.78087466449927</v>
      </c>
      <c r="H880" s="17">
        <f t="shared" si="582"/>
        <v>132.8197823041873</v>
      </c>
      <c r="I880" s="17">
        <f t="shared" si="582"/>
        <v>121.51967671841112</v>
      </c>
      <c r="J880" s="17">
        <f t="shared" si="582"/>
        <v>108.6316941362608</v>
      </c>
      <c r="K880" s="17">
        <f t="shared" si="582"/>
        <v>95.251824909349423</v>
      </c>
      <c r="L880" s="17"/>
    </row>
    <row r="881" spans="2:12" x14ac:dyDescent="0.35">
      <c r="B881" s="5" t="str">
        <f t="shared" si="554"/>
        <v>SPS2</v>
      </c>
      <c r="C881" s="5" t="str">
        <f>C880</f>
        <v>CH</v>
      </c>
      <c r="D881" t="s">
        <v>963</v>
      </c>
      <c r="E881" t="s">
        <v>8</v>
      </c>
      <c r="F881" s="1">
        <f>[1]Services!B$11</f>
        <v>60.950118919004353</v>
      </c>
      <c r="G881" s="1">
        <f>[1]Services!C$11</f>
        <v>60.34212787721966</v>
      </c>
      <c r="H881" s="1">
        <f>[1]Services!D$11</f>
        <v>61.240957916114468</v>
      </c>
      <c r="I881" s="1">
        <f>[1]Services!E$11</f>
        <v>58.364748485605759</v>
      </c>
      <c r="J881" s="1">
        <f>[1]Services!F$11</f>
        <v>56.885023603520992</v>
      </c>
      <c r="K881" s="1">
        <f>[1]Services!G$11</f>
        <v>53.165553619441908</v>
      </c>
    </row>
    <row r="882" spans="2:12" x14ac:dyDescent="0.35">
      <c r="B882" s="5" t="str">
        <f t="shared" si="554"/>
        <v>SPS2</v>
      </c>
      <c r="C882" s="5" t="str">
        <f>C881</f>
        <v>CH</v>
      </c>
      <c r="D882" t="s">
        <v>759</v>
      </c>
      <c r="E882" t="s">
        <v>8</v>
      </c>
      <c r="F882" s="1" cm="1">
        <f t="array" ref="F882">SUMPRODUCT(([1]OUT_FinalEnergyCons!$B$4:$B$10000="Var_Fin")*1, ISNUMBER(SEARCH("SCOM_ELC",[1]OUT_FinalEnergyCons!$C$4:$C$10000))*1, (ISNUMBER(SEARCH("SCOM-SHELCBR",[1]OUT_FinalEnergyCons!$A$4:$A$10000)))*1,[1]OUT_FinalEnergyCons!D$4:D$10000)</f>
        <v>2.6236759797684126</v>
      </c>
      <c r="G882" s="1" cm="1">
        <f t="array" ref="G882">SUMPRODUCT(([1]OUT_FinalEnergyCons!$B$4:$B$10000="Var_Fin")*1, ISNUMBER(SEARCH("SCOM_ELC",[1]OUT_FinalEnergyCons!$C$4:$C$10000))*1, (ISNUMBER(SEARCH("SCOM-SHELCBR",[1]OUT_FinalEnergyCons!$A$4:$A$10000)))*1,[1]OUT_FinalEnergyCons!E$4:E$10000)</f>
        <v>0.21500906026868549</v>
      </c>
      <c r="H882" s="1" cm="1">
        <f t="array" ref="H882">SUMPRODUCT(([1]OUT_FinalEnergyCons!$B$4:$B$10000="Var_Fin")*1, ISNUMBER(SEARCH("SCOM_ELC",[1]OUT_FinalEnergyCons!$C$4:$C$10000))*1, (ISNUMBER(SEARCH("SCOM-SHELCBR",[1]OUT_FinalEnergyCons!$A$4:$A$10000)))*1,[1]OUT_FinalEnergyCons!F$4:F$10000)</f>
        <v>1.1042978198095503</v>
      </c>
      <c r="I882" s="1" cm="1">
        <f t="array" ref="I882">SUMPRODUCT(([1]OUT_FinalEnergyCons!$B$4:$B$10000="Var_Fin")*1, ISNUMBER(SEARCH("SCOM_ELC",[1]OUT_FinalEnergyCons!$C$4:$C$10000))*1, (ISNUMBER(SEARCH("SCOM-SHELCBR",[1]OUT_FinalEnergyCons!$A$4:$A$10000)))*1,[1]OUT_FinalEnergyCons!G$4:G$10000)</f>
        <v>0.61615890676441787</v>
      </c>
      <c r="J882" s="1" cm="1">
        <f t="array" ref="J882">SUMPRODUCT(([1]OUT_FinalEnergyCons!$B$4:$B$10000="Var_Fin")*1, ISNUMBER(SEARCH("SCOM_ELC",[1]OUT_FinalEnergyCons!$C$4:$C$10000))*1, (ISNUMBER(SEARCH("SCOM-SHELCBR",[1]OUT_FinalEnergyCons!$A$4:$A$10000)))*1,[1]OUT_FinalEnergyCons!H$4:H$10000)</f>
        <v>0.43223450283614701</v>
      </c>
      <c r="K882" s="1" cm="1">
        <f t="array" ref="K882">SUMPRODUCT(([1]OUT_FinalEnergyCons!$B$4:$B$10000="Var_Fin")*1, ISNUMBER(SEARCH("SCOM_ELC",[1]OUT_FinalEnergyCons!$C$4:$C$10000))*1, (ISNUMBER(SEARCH("SCOM-SHELCBR",[1]OUT_FinalEnergyCons!$A$4:$A$10000)))*1,[1]OUT_FinalEnergyCons!I$4:I$10000)</f>
        <v>0.29920516174152789</v>
      </c>
    </row>
    <row r="883" spans="2:12" x14ac:dyDescent="0.35">
      <c r="B883" s="5" t="str">
        <f t="shared" si="554"/>
        <v>SPS2</v>
      </c>
      <c r="C883" s="5" t="str">
        <f t="shared" ref="C883:C922" si="583">C882</f>
        <v>CH</v>
      </c>
      <c r="D883" t="s">
        <v>725</v>
      </c>
      <c r="E883" t="s">
        <v>8</v>
      </c>
      <c r="F883" s="1" cm="1">
        <f t="array" ref="F883">SUMPRODUCT(([1]OUT_FinalEnergyCons!$B$4:$B$10000="Var_Fin")*1, ISNUMBER(SEARCH("SCOM_ELC",[1]OUT_FinalEnergyCons!$C$4:$C$10000))*1,(ISNUMBER(SEARCH("SCOM-SHELCHP",[1]OUT_FinalEnergyCons!$A$4:$A$10000)))*1,[1]OUT_FinalEnergyCons!D$4:D$10000)</f>
        <v>1.3316683643234983</v>
      </c>
      <c r="G883" s="1" cm="1">
        <f t="array" ref="G883">SUMPRODUCT(([1]OUT_FinalEnergyCons!$B$4:$B$10000="Var_Fin")*1, ISNUMBER(SEARCH("SCOM_ELC",[1]OUT_FinalEnergyCons!$C$4:$C$10000))*1,(ISNUMBER(SEARCH("SCOM-SHELCHP",[1]OUT_FinalEnergyCons!$A$4:$A$10000)))*1,[1]OUT_FinalEnergyCons!E$4:E$10000)</f>
        <v>1.4252172232036715</v>
      </c>
      <c r="H883" s="1" cm="1">
        <f t="array" ref="H883">SUMPRODUCT(([1]OUT_FinalEnergyCons!$B$4:$B$10000="Var_Fin")*1, ISNUMBER(SEARCH("SCOM_ELC",[1]OUT_FinalEnergyCons!$C$4:$C$10000))*1,(ISNUMBER(SEARCH("SCOM-SHELCHP",[1]OUT_FinalEnergyCons!$A$4:$A$10000)))*1,[1]OUT_FinalEnergyCons!F$4:F$10000)</f>
        <v>1.6659337325900654</v>
      </c>
      <c r="I883" s="1" cm="1">
        <f t="array" ref="I883">SUMPRODUCT(([1]OUT_FinalEnergyCons!$B$4:$B$10000="Var_Fin")*1, ISNUMBER(SEARCH("SCOM_ELC",[1]OUT_FinalEnergyCons!$C$4:$C$10000))*1,(ISNUMBER(SEARCH("SCOM-SHELCHP",[1]OUT_FinalEnergyCons!$A$4:$A$10000)))*1,[1]OUT_FinalEnergyCons!G$4:G$10000)</f>
        <v>2.5472978433973581</v>
      </c>
      <c r="J883" s="1" cm="1">
        <f t="array" ref="J883">SUMPRODUCT(([1]OUT_FinalEnergyCons!$B$4:$B$10000="Var_Fin")*1, ISNUMBER(SEARCH("SCOM_ELC",[1]OUT_FinalEnergyCons!$C$4:$C$10000))*1,(ISNUMBER(SEARCH("SCOM-SHELCHP",[1]OUT_FinalEnergyCons!$A$4:$A$10000)))*1,[1]OUT_FinalEnergyCons!H$4:H$10000)</f>
        <v>4.283563280804219</v>
      </c>
      <c r="K883" s="1" cm="1">
        <f t="array" ref="K883">SUMPRODUCT(([1]OUT_FinalEnergyCons!$B$4:$B$10000="Var_Fin")*1, ISNUMBER(SEARCH("SCOM_ELC",[1]OUT_FinalEnergyCons!$C$4:$C$10000))*1,(ISNUMBER(SEARCH("SCOM-SHELCHP",[1]OUT_FinalEnergyCons!$A$4:$A$10000)))*1,[1]OUT_FinalEnergyCons!I$4:I$10000)</f>
        <v>4.6124425644188589</v>
      </c>
    </row>
    <row r="884" spans="2:12" x14ac:dyDescent="0.35">
      <c r="B884" s="5" t="str">
        <f t="shared" ref="B884:B947" si="584">B883</f>
        <v>SPS2</v>
      </c>
      <c r="C884" s="5" t="str">
        <f t="shared" si="583"/>
        <v>CH</v>
      </c>
      <c r="D884" t="s">
        <v>508</v>
      </c>
      <c r="E884" t="s">
        <v>8</v>
      </c>
      <c r="F884" s="1">
        <f>[1]Services!B$11-[1]Services!B$28</f>
        <v>56.994774574912441</v>
      </c>
      <c r="G884" s="1">
        <f>[1]Services!C$11-[1]Services!C$28</f>
        <v>58.701901593747301</v>
      </c>
      <c r="H884" s="1">
        <f>[1]Services!D$11-[1]Services!D$28</f>
        <v>58.470726363714853</v>
      </c>
      <c r="I884" s="1">
        <f>[1]Services!E$11-[1]Services!E$28</f>
        <v>55.201291735443981</v>
      </c>
      <c r="J884" s="1">
        <f>[1]Services!F$11-[1]Services!F$28</f>
        <v>52.169225819880623</v>
      </c>
      <c r="K884" s="1">
        <f>[1]Services!G$11-[1]Services!G$28</f>
        <v>48.253905893281519</v>
      </c>
    </row>
    <row r="885" spans="2:12" x14ac:dyDescent="0.35">
      <c r="B885" s="5" t="str">
        <f t="shared" si="584"/>
        <v>SPS2</v>
      </c>
      <c r="C885" s="5" t="str">
        <f t="shared" si="583"/>
        <v>CH</v>
      </c>
      <c r="D885" t="s">
        <v>499</v>
      </c>
      <c r="E885" t="s">
        <v>8</v>
      </c>
      <c r="F885" s="1">
        <f>F886</f>
        <v>30.256642003618616</v>
      </c>
      <c r="G885" s="1">
        <f t="shared" ref="G885:K885" si="585">G886</f>
        <v>26.486041689440217</v>
      </c>
      <c r="H885" s="1">
        <f t="shared" si="585"/>
        <v>25.537028548543876</v>
      </c>
      <c r="I885" s="1">
        <f t="shared" si="585"/>
        <v>15.091313013443793</v>
      </c>
      <c r="J885" s="1">
        <f t="shared" si="585"/>
        <v>5.249055409020043</v>
      </c>
      <c r="K885" s="1">
        <f t="shared" si="585"/>
        <v>0.39399026521064545</v>
      </c>
      <c r="L885" s="1"/>
    </row>
    <row r="886" spans="2:12" x14ac:dyDescent="0.35">
      <c r="B886" s="5" t="str">
        <f t="shared" si="584"/>
        <v>SPS2</v>
      </c>
      <c r="C886" s="5" t="str">
        <f t="shared" si="583"/>
        <v>CH</v>
      </c>
      <c r="D886" t="s">
        <v>500</v>
      </c>
      <c r="E886" t="s">
        <v>8</v>
      </c>
      <c r="F886" s="1">
        <f>SUM(F889,F891)</f>
        <v>30.256642003618616</v>
      </c>
      <c r="G886" s="1">
        <f t="shared" ref="G886:K886" si="586">SUM(G889,G891)</f>
        <v>26.486041689440217</v>
      </c>
      <c r="H886" s="1">
        <f t="shared" si="586"/>
        <v>25.537028548543876</v>
      </c>
      <c r="I886" s="1">
        <f t="shared" si="586"/>
        <v>15.091313013443793</v>
      </c>
      <c r="J886" s="1">
        <f t="shared" si="586"/>
        <v>5.249055409020043</v>
      </c>
      <c r="K886" s="1">
        <f t="shared" si="586"/>
        <v>0.39399026521064545</v>
      </c>
    </row>
    <row r="887" spans="2:12" x14ac:dyDescent="0.35">
      <c r="B887" s="5" t="str">
        <f t="shared" si="584"/>
        <v>SPS2</v>
      </c>
      <c r="C887" s="5" t="str">
        <f>C886</f>
        <v>CH</v>
      </c>
      <c r="D887" t="s">
        <v>964</v>
      </c>
      <c r="E887" t="s">
        <v>8</v>
      </c>
      <c r="F887" s="1">
        <f>F888</f>
        <v>30.256642003618616</v>
      </c>
      <c r="G887" s="1">
        <f t="shared" ref="G887:K887" si="587">G888</f>
        <v>26.486041689440217</v>
      </c>
      <c r="H887" s="1">
        <f t="shared" si="587"/>
        <v>25.536799521704435</v>
      </c>
      <c r="I887" s="1">
        <f t="shared" si="587"/>
        <v>15.089925863761843</v>
      </c>
      <c r="J887" s="1">
        <f t="shared" si="587"/>
        <v>5.2466701763773242</v>
      </c>
      <c r="K887" s="1">
        <f t="shared" si="587"/>
        <v>1.6456276451234347E-5</v>
      </c>
    </row>
    <row r="888" spans="2:12" x14ac:dyDescent="0.35">
      <c r="B888" s="5" t="str">
        <f t="shared" si="584"/>
        <v>SPS2</v>
      </c>
      <c r="C888" s="5" t="str">
        <f t="shared" si="583"/>
        <v>CH</v>
      </c>
      <c r="D888" t="s">
        <v>528</v>
      </c>
      <c r="E888" t="s">
        <v>8</v>
      </c>
      <c r="F888" s="1">
        <f>[1]Services!B$12</f>
        <v>30.256642003618616</v>
      </c>
      <c r="G888" s="1">
        <f>[1]Services!C$12</f>
        <v>26.486041689440217</v>
      </c>
      <c r="H888" s="1">
        <f>[1]Services!D$12</f>
        <v>25.536799521704435</v>
      </c>
      <c r="I888" s="1">
        <f>[1]Services!E$12</f>
        <v>15.089925863761843</v>
      </c>
      <c r="J888" s="1">
        <f>[1]Services!F$12</f>
        <v>5.2466701763773242</v>
      </c>
      <c r="K888" s="1">
        <f>[1]Services!G$12</f>
        <v>1.6456276451234347E-5</v>
      </c>
    </row>
    <row r="889" spans="2:12" x14ac:dyDescent="0.35">
      <c r="B889" s="5" t="str">
        <f t="shared" si="584"/>
        <v>SPS2</v>
      </c>
      <c r="C889" s="5" t="str">
        <f t="shared" si="583"/>
        <v>CH</v>
      </c>
      <c r="D889" t="s">
        <v>529</v>
      </c>
      <c r="E889" t="s">
        <v>8</v>
      </c>
      <c r="F889" s="1">
        <f>F888</f>
        <v>30.256642003618616</v>
      </c>
      <c r="G889" s="1">
        <f t="shared" ref="G889:K889" si="588">G888</f>
        <v>26.486041689440217</v>
      </c>
      <c r="H889" s="1">
        <f t="shared" si="588"/>
        <v>25.536799521704435</v>
      </c>
      <c r="I889" s="1">
        <f t="shared" si="588"/>
        <v>15.089925863761843</v>
      </c>
      <c r="J889" s="1">
        <f t="shared" si="588"/>
        <v>5.2466701763773242</v>
      </c>
      <c r="K889" s="1">
        <f t="shared" si="588"/>
        <v>1.6456276451234347E-5</v>
      </c>
    </row>
    <row r="890" spans="2:12" x14ac:dyDescent="0.35">
      <c r="B890" s="5" t="str">
        <f t="shared" si="584"/>
        <v>SPS2</v>
      </c>
      <c r="C890" s="5" t="str">
        <f>C889</f>
        <v>CH</v>
      </c>
      <c r="D890" t="s">
        <v>965</v>
      </c>
      <c r="E890" t="s">
        <v>8</v>
      </c>
      <c r="F890">
        <f>F891</f>
        <v>0</v>
      </c>
      <c r="G890">
        <f t="shared" ref="G890:K890" si="589">G891</f>
        <v>0</v>
      </c>
      <c r="H890">
        <f t="shared" si="589"/>
        <v>2.2902683944084535E-4</v>
      </c>
      <c r="I890">
        <f t="shared" si="589"/>
        <v>1.3871496819502474E-3</v>
      </c>
      <c r="J890">
        <f t="shared" si="589"/>
        <v>2.3852326427182976E-3</v>
      </c>
      <c r="K890">
        <f t="shared" si="589"/>
        <v>0.3939738089341942</v>
      </c>
    </row>
    <row r="891" spans="2:12" x14ac:dyDescent="0.35">
      <c r="B891" s="5" t="str">
        <f t="shared" si="584"/>
        <v>SPS2</v>
      </c>
      <c r="C891" s="5" t="str">
        <f t="shared" si="583"/>
        <v>CH</v>
      </c>
      <c r="D891" t="s">
        <v>966</v>
      </c>
      <c r="E891" t="s">
        <v>8</v>
      </c>
      <c r="F891">
        <f>[1]Services!B$13</f>
        <v>0</v>
      </c>
      <c r="G891">
        <f>[1]Services!C$13</f>
        <v>0</v>
      </c>
      <c r="H891">
        <f>[1]Services!D$13</f>
        <v>2.2902683944084535E-4</v>
      </c>
      <c r="I891">
        <f>[1]Services!E$13</f>
        <v>1.3871496819502474E-3</v>
      </c>
      <c r="J891">
        <f>[1]Services!F$13</f>
        <v>2.3852326427182976E-3</v>
      </c>
      <c r="K891">
        <f>[1]Services!G$13</f>
        <v>0.3939738089341942</v>
      </c>
    </row>
    <row r="892" spans="2:12" x14ac:dyDescent="0.35">
      <c r="B892" s="5" t="str">
        <f t="shared" si="584"/>
        <v>SPS2</v>
      </c>
      <c r="C892" s="5" t="str">
        <f t="shared" si="583"/>
        <v>CH</v>
      </c>
      <c r="D892" t="s">
        <v>501</v>
      </c>
      <c r="E892" t="s">
        <v>8</v>
      </c>
      <c r="F892" s="1">
        <f>SUM(F893:F895)</f>
        <v>26.950998255414603</v>
      </c>
      <c r="G892" s="1">
        <f t="shared" ref="G892:K892" si="590">SUM(G893:G895)</f>
        <v>28.287040899960097</v>
      </c>
      <c r="H892" s="1">
        <f t="shared" si="590"/>
        <v>25.403100230255671</v>
      </c>
      <c r="I892" s="1">
        <f t="shared" si="590"/>
        <v>23.61253281004953</v>
      </c>
      <c r="J892" s="1">
        <f t="shared" si="590"/>
        <v>16.901108643731561</v>
      </c>
      <c r="K892" s="1">
        <f t="shared" si="590"/>
        <v>12.626206083146295</v>
      </c>
    </row>
    <row r="893" spans="2:12" x14ac:dyDescent="0.35">
      <c r="B893" s="5" t="str">
        <f t="shared" si="584"/>
        <v>SPS2</v>
      </c>
      <c r="C893" s="5" t="str">
        <f t="shared" si="583"/>
        <v>CH</v>
      </c>
      <c r="D893" t="s">
        <v>681</v>
      </c>
      <c r="E893" t="s">
        <v>8</v>
      </c>
      <c r="F893" s="1">
        <f>SUM([1]Services!B$14:B$15)-F894</f>
        <v>25.548700817174527</v>
      </c>
      <c r="G893" s="1">
        <f>SUM([1]Services!C$14:C$15)</f>
        <v>26.749792448078082</v>
      </c>
      <c r="H893" s="1">
        <f>SUM([1]Services!D$14:D$15)</f>
        <v>24.144181830987865</v>
      </c>
      <c r="I893" s="1">
        <f>SUM([1]Services!E$14:E$15)</f>
        <v>20.249892858003147</v>
      </c>
      <c r="J893" s="1">
        <f>SUM([1]Services!F$14:F$15)</f>
        <v>11.5393911102807</v>
      </c>
      <c r="K893" s="1">
        <f>SUM([1]Services!G$14:G$15)</f>
        <v>7.5522638775998852</v>
      </c>
    </row>
    <row r="894" spans="2:12" x14ac:dyDescent="0.35">
      <c r="B894" s="5" t="str">
        <f t="shared" si="584"/>
        <v>SPS2</v>
      </c>
      <c r="C894" s="5" t="str">
        <f t="shared" ref="C894" si="591">C893</f>
        <v>CH</v>
      </c>
      <c r="D894" t="s">
        <v>726</v>
      </c>
      <c r="E894" t="s">
        <v>8</v>
      </c>
      <c r="F894" s="1" cm="1">
        <f t="array" ref="F894">SUMPRODUCT(([1]OUT_FinalEnergyCons!$B$4:$B$10000="Var_Fin")*1, ([1]OUT_FinalEnergyCons!$C$4:$C$10000="SNGA")*1,(ISNUMBER(SEARCH("SCOM-SHngahp",[1]OUT_FinalEnergyCons!$A$4:$A$10000)))*1,[1]OUT_FinalEnergyCons!D$4:D$10000)</f>
        <v>0</v>
      </c>
      <c r="G894" s="1" cm="1">
        <f t="array" ref="G894">SUMPRODUCT(([1]OUT_FinalEnergyCons!$B$4:$B$10000="Var_Fin")*1, ([1]OUT_FinalEnergyCons!$C$4:$C$10000="SNGA")*1,(ISNUMBER(SEARCH("SCOM-SHngahp",[1]OUT_FinalEnergyCons!$A$4:$A$10000)))*1,[1]OUT_FinalEnergyCons!E$4:E$10000)</f>
        <v>0</v>
      </c>
      <c r="H894" s="1" cm="1">
        <f t="array" ref="H894">SUMPRODUCT(([1]OUT_FinalEnergyCons!$B$4:$B$10000="Var_Fin")*1, ([1]OUT_FinalEnergyCons!$C$4:$C$10000="SNGA")*1,(ISNUMBER(SEARCH("SCOM-SHngahp",[1]OUT_FinalEnergyCons!$A$4:$A$10000)))*1,[1]OUT_FinalEnergyCons!F$4:F$10000)</f>
        <v>1.2589183992678055</v>
      </c>
      <c r="I894" s="1" cm="1">
        <f t="array" ref="I894">SUMPRODUCT(([1]OUT_FinalEnergyCons!$B$4:$B$10000="Var_Fin")*1, ([1]OUT_FinalEnergyCons!$C$4:$C$10000="SNGA")*1,(ISNUMBER(SEARCH("SCOM-SHngahp",[1]OUT_FinalEnergyCons!$A$4:$A$10000)))*1,[1]OUT_FinalEnergyCons!G$4:G$10000)</f>
        <v>3.362639952046381</v>
      </c>
      <c r="J894" s="1" cm="1">
        <f t="array" ref="J894">SUMPRODUCT(([1]OUT_FinalEnergyCons!$B$4:$B$10000="Var_Fin")*1, ([1]OUT_FinalEnergyCons!$C$4:$C$10000="SNGA")*1,(ISNUMBER(SEARCH("SCOM-SHngahp",[1]OUT_FinalEnergyCons!$A$4:$A$10000)))*1,[1]OUT_FinalEnergyCons!H$4:H$10000)</f>
        <v>5.3617175334508627</v>
      </c>
      <c r="K894" s="1" cm="1">
        <f t="array" ref="K894">SUMPRODUCT(([1]OUT_FinalEnergyCons!$B$4:$B$10000="Var_Fin")*1, ([1]OUT_FinalEnergyCons!$C$4:$C$10000="SNGA")*1,(ISNUMBER(SEARCH("SCOM-SHngahp",[1]OUT_FinalEnergyCons!$A$4:$A$10000)))*1,[1]OUT_FinalEnergyCons!I$4:I$10000)</f>
        <v>5.0739422055464098</v>
      </c>
    </row>
    <row r="895" spans="2:12" x14ac:dyDescent="0.35">
      <c r="B895" s="5" t="str">
        <f t="shared" si="584"/>
        <v>SPS2</v>
      </c>
      <c r="C895" s="5" t="str">
        <f>C893</f>
        <v>CH</v>
      </c>
      <c r="D895" t="s">
        <v>502</v>
      </c>
      <c r="E895" t="s">
        <v>8</v>
      </c>
      <c r="F895" s="1">
        <f>[1]Services!B$16</f>
        <v>1.4022974382400755</v>
      </c>
      <c r="G895" s="1">
        <f>[1]Services!C$16</f>
        <v>1.5372484518820142</v>
      </c>
      <c r="H895" s="1">
        <f>[1]Services!D$16</f>
        <v>0</v>
      </c>
      <c r="I895" s="1">
        <f>[1]Services!E$16</f>
        <v>0</v>
      </c>
      <c r="J895" s="1">
        <f>[1]Services!F$16</f>
        <v>0</v>
      </c>
      <c r="K895" s="1">
        <f>[1]Services!G$16</f>
        <v>0</v>
      </c>
    </row>
    <row r="896" spans="2:12" x14ac:dyDescent="0.35">
      <c r="B896" s="5" t="str">
        <f t="shared" si="584"/>
        <v>SPS2</v>
      </c>
      <c r="C896" s="5" t="str">
        <f t="shared" si="583"/>
        <v>CH</v>
      </c>
      <c r="D896" t="s">
        <v>967</v>
      </c>
      <c r="E896" t="s">
        <v>8</v>
      </c>
      <c r="F896" s="1">
        <f>[1]Services!B$14</f>
        <v>25.262947781651143</v>
      </c>
      <c r="G896" s="1">
        <f>[1]Services!C$14</f>
        <v>25.287996549541905</v>
      </c>
      <c r="H896" s="1">
        <f>[1]Services!D$14</f>
        <v>23.108817953948328</v>
      </c>
      <c r="I896" s="1">
        <f>[1]Services!E$14</f>
        <v>19.191867905167378</v>
      </c>
      <c r="J896" s="1">
        <f>[1]Services!F$14</f>
        <v>9.6619997464918104</v>
      </c>
      <c r="K896" s="1">
        <f>[1]Services!G$14</f>
        <v>4.8846538459467528</v>
      </c>
    </row>
    <row r="897" spans="2:11" x14ac:dyDescent="0.35">
      <c r="B897" s="5" t="str">
        <f t="shared" si="584"/>
        <v>SPS2</v>
      </c>
      <c r="C897" s="5" t="str">
        <f t="shared" si="583"/>
        <v>CH</v>
      </c>
      <c r="D897" t="s">
        <v>682</v>
      </c>
      <c r="E897" t="s">
        <v>8</v>
      </c>
      <c r="F897" s="1">
        <f>[1]Services!B$14*IFERROR(F893/SUM(F893:F894),0)</f>
        <v>25.262947781651143</v>
      </c>
      <c r="G897" s="1">
        <f>[1]Services!C$14*IFERROR(G893/SUM(G893:G894),0)</f>
        <v>25.287996549541905</v>
      </c>
      <c r="H897" s="1">
        <f>[1]Services!D$14*IFERROR(H893/SUM(H893:H894),0)</f>
        <v>21.963598833295237</v>
      </c>
      <c r="I897" s="1">
        <f>[1]Services!E$14*IFERROR(I893/SUM(I893:I894),0)</f>
        <v>16.458770939608215</v>
      </c>
      <c r="J897" s="1">
        <f>[1]Services!F$14*IFERROR(J893/SUM(J893:J894),0)</f>
        <v>6.5968213288513322</v>
      </c>
      <c r="K897" s="1">
        <f>[1]Services!G$14*IFERROR(K893/SUM(K893:K894),0)</f>
        <v>2.9217165118637465</v>
      </c>
    </row>
    <row r="898" spans="2:11" x14ac:dyDescent="0.35">
      <c r="B898" s="5" t="str">
        <f t="shared" si="584"/>
        <v>SPS2</v>
      </c>
      <c r="C898" s="5" t="str">
        <f t="shared" ref="C898" si="592">C897</f>
        <v>CH</v>
      </c>
      <c r="D898" t="s">
        <v>727</v>
      </c>
      <c r="E898" t="s">
        <v>8</v>
      </c>
      <c r="F898" s="1">
        <f>F896-F897</f>
        <v>0</v>
      </c>
      <c r="G898" s="1">
        <f t="shared" ref="G898:K898" si="593">G896-G897</f>
        <v>0</v>
      </c>
      <c r="H898" s="1">
        <f t="shared" si="593"/>
        <v>1.1452191206530919</v>
      </c>
      <c r="I898" s="1">
        <f t="shared" si="593"/>
        <v>2.733096965559163</v>
      </c>
      <c r="J898" s="1">
        <f t="shared" si="593"/>
        <v>3.0651784176404782</v>
      </c>
      <c r="K898" s="1">
        <f t="shared" si="593"/>
        <v>1.9629373340830063</v>
      </c>
    </row>
    <row r="899" spans="2:11" x14ac:dyDescent="0.35">
      <c r="B899" s="5" t="str">
        <f t="shared" si="584"/>
        <v>SPS2</v>
      </c>
      <c r="C899" s="5" t="str">
        <f>C897</f>
        <v>CH</v>
      </c>
      <c r="D899" t="s">
        <v>968</v>
      </c>
      <c r="E899" t="s">
        <v>8</v>
      </c>
      <c r="F899" s="1">
        <f>[1]Services!B$15+F902</f>
        <v>1.6880504737634607</v>
      </c>
      <c r="G899" s="1">
        <f>[1]Services!C$15+G902</f>
        <v>2.999044350418191</v>
      </c>
      <c r="H899" s="1">
        <f>[1]Services!D$15+H902</f>
        <v>1.0353638770395373</v>
      </c>
      <c r="I899" s="1">
        <f>[1]Services!E$15+I902</f>
        <v>1.0580249528357675</v>
      </c>
      <c r="J899" s="1">
        <f>[1]Services!F$15+J902</f>
        <v>1.8773913637888908</v>
      </c>
      <c r="K899" s="1">
        <f>[1]Services!G$15+K902</f>
        <v>2.6676100316531324</v>
      </c>
    </row>
    <row r="900" spans="2:11" x14ac:dyDescent="0.35">
      <c r="B900" s="5" t="str">
        <f t="shared" si="584"/>
        <v>SPS2</v>
      </c>
      <c r="C900" s="5" t="str">
        <f t="shared" si="583"/>
        <v>CH</v>
      </c>
      <c r="D900" t="s">
        <v>683</v>
      </c>
      <c r="E900" t="s">
        <v>8</v>
      </c>
      <c r="F900" s="1">
        <f>[1]Services!B$15*F893/SUM(F893:F894)</f>
        <v>0.28575303552338521</v>
      </c>
      <c r="G900" s="1">
        <f>[1]Services!C$15*G893/SUM(G893:G894)</f>
        <v>1.4617958985361768</v>
      </c>
      <c r="H900" s="1">
        <f>[1]Services!D$15*H893/SUM(H893:H894)</f>
        <v>0.98405365809272149</v>
      </c>
      <c r="I900" s="1">
        <f>[1]Services!E$15*I893/SUM(I893:I894)</f>
        <v>0.90735255333979492</v>
      </c>
      <c r="J900" s="1">
        <f>[1]Services!F$15*J893/SUM(J893:J894)</f>
        <v>1.2818066359130953</v>
      </c>
      <c r="K900" s="1">
        <f>[1]Services!G$15*K893/SUM(K893:K894)</f>
        <v>1.5956095401031802</v>
      </c>
    </row>
    <row r="901" spans="2:11" x14ac:dyDescent="0.35">
      <c r="B901" s="5" t="str">
        <f t="shared" si="584"/>
        <v>SPS2</v>
      </c>
      <c r="C901" s="5" t="str">
        <f t="shared" ref="C901" si="594">C900</f>
        <v>CH</v>
      </c>
      <c r="D901" t="s">
        <v>728</v>
      </c>
      <c r="E901" t="s">
        <v>8</v>
      </c>
      <c r="F901" s="1">
        <f>[1]Services!B$15*F894/SUM(F893:F894)</f>
        <v>0</v>
      </c>
      <c r="G901" s="1">
        <f>[1]Services!C$15*G894/SUM(G893:G894)</f>
        <v>0</v>
      </c>
      <c r="H901" s="1">
        <f>[1]Services!D$15*H894/SUM(H893:H894)</f>
        <v>5.1310218946815721E-2</v>
      </c>
      <c r="I901" s="1">
        <f>[1]Services!E$15*I894/SUM(I893:I894)</f>
        <v>0.15067239949597244</v>
      </c>
      <c r="J901" s="1">
        <f>[1]Services!F$15*J894/SUM(J893:J894)</f>
        <v>0.59558472787579586</v>
      </c>
      <c r="K901" s="1">
        <f>[1]Services!G$15*K894/SUM(K893:K894)</f>
        <v>1.0720004915499521</v>
      </c>
    </row>
    <row r="902" spans="2:11" x14ac:dyDescent="0.35">
      <c r="B902" s="5" t="str">
        <f t="shared" si="584"/>
        <v>SPS2</v>
      </c>
      <c r="C902" s="5" t="str">
        <f>C900</f>
        <v>CH</v>
      </c>
      <c r="D902" t="s">
        <v>673</v>
      </c>
      <c r="E902" t="s">
        <v>8</v>
      </c>
      <c r="F902" s="1">
        <f>[1]Services!B$16</f>
        <v>1.4022974382400755</v>
      </c>
      <c r="G902" s="1">
        <f>[1]Services!C$16</f>
        <v>1.5372484518820142</v>
      </c>
      <c r="H902" s="1">
        <f>[1]Services!D$16</f>
        <v>0</v>
      </c>
      <c r="I902" s="1">
        <f>[1]Services!E$16</f>
        <v>0</v>
      </c>
      <c r="J902" s="1">
        <f>[1]Services!F$16</f>
        <v>0</v>
      </c>
      <c r="K902" s="1">
        <f>[1]Services!G$16</f>
        <v>0</v>
      </c>
    </row>
    <row r="903" spans="2:11" x14ac:dyDescent="0.35">
      <c r="B903" s="5" t="str">
        <f t="shared" si="584"/>
        <v>SPS2</v>
      </c>
      <c r="C903" s="5" t="str">
        <f>C902</f>
        <v>CH</v>
      </c>
      <c r="D903" t="s">
        <v>969</v>
      </c>
      <c r="E903" t="s">
        <v>8</v>
      </c>
      <c r="F903" s="1">
        <f>[1]Services!B$17</f>
        <v>7.7269255300177813</v>
      </c>
      <c r="G903" s="1">
        <f>[1]Services!C$17</f>
        <v>8.369725536268195</v>
      </c>
      <c r="H903" s="1">
        <f>[1]Services!D$17</f>
        <v>5.92831792876978</v>
      </c>
      <c r="I903" s="1">
        <f>[1]Services!E$17</f>
        <v>7.6023148085013244</v>
      </c>
      <c r="J903" s="1">
        <f>[1]Services!F$17</f>
        <v>9.2777175046102229</v>
      </c>
      <c r="K903" s="1">
        <f>[1]Services!G$17</f>
        <v>8.9957532273073646</v>
      </c>
    </row>
    <row r="904" spans="2:11" x14ac:dyDescent="0.35">
      <c r="B904" s="5" t="str">
        <f t="shared" si="584"/>
        <v>SPS2</v>
      </c>
      <c r="C904" s="5" t="str">
        <f t="shared" si="583"/>
        <v>CH</v>
      </c>
      <c r="D904" t="s">
        <v>970</v>
      </c>
      <c r="E904" t="s">
        <v>8</v>
      </c>
      <c r="F904" s="1">
        <f>[1]Services!B$51/0.99</f>
        <v>2.1169103909586209</v>
      </c>
      <c r="G904" s="1">
        <f>[1]Services!C$51/0.99</f>
        <v>2.2930160735668323</v>
      </c>
      <c r="H904" s="1">
        <f>[1]Services!D$51/0.99</f>
        <v>0</v>
      </c>
      <c r="I904" s="1">
        <f>[1]Services!E$51/0.99</f>
        <v>0</v>
      </c>
      <c r="J904" s="1">
        <f>[1]Services!F$51/0.99</f>
        <v>0</v>
      </c>
      <c r="K904" s="1">
        <f>[1]Services!G$51/0.99</f>
        <v>0</v>
      </c>
    </row>
    <row r="905" spans="2:11" x14ac:dyDescent="0.35">
      <c r="B905" s="5" t="str">
        <f t="shared" si="584"/>
        <v>SPS2</v>
      </c>
      <c r="C905" s="5" t="str">
        <f t="shared" si="583"/>
        <v>CH</v>
      </c>
      <c r="D905" t="s">
        <v>507</v>
      </c>
      <c r="E905" t="s">
        <v>8</v>
      </c>
      <c r="F905" s="1">
        <f>F904-SUM(F906:F909)</f>
        <v>1.4242904722496419</v>
      </c>
      <c r="G905" s="1">
        <f t="shared" ref="G905:K905" si="595">G904-SUM(G906:G909)</f>
        <v>1.5425043540349255</v>
      </c>
      <c r="H905" s="1">
        <f t="shared" si="595"/>
        <v>-1.3204357407590123E-2</v>
      </c>
      <c r="I905" s="1">
        <f t="shared" si="595"/>
        <v>-1.4457490893279138E-2</v>
      </c>
      <c r="J905" s="1">
        <f t="shared" si="595"/>
        <v>-2.3194269723769305E-2</v>
      </c>
      <c r="K905" s="1">
        <f t="shared" si="595"/>
        <v>-4.981009519542336E-3</v>
      </c>
    </row>
    <row r="906" spans="2:11" x14ac:dyDescent="0.35">
      <c r="B906" s="5" t="str">
        <f t="shared" si="584"/>
        <v>SPS2</v>
      </c>
      <c r="C906" s="5" t="str">
        <f t="shared" si="583"/>
        <v>CH</v>
      </c>
      <c r="D906" t="s">
        <v>503</v>
      </c>
      <c r="E906" t="s">
        <v>8</v>
      </c>
      <c r="F906" s="1">
        <f t="shared" ref="F906:K907" si="596">F247</f>
        <v>0.69261991870897899</v>
      </c>
      <c r="G906" s="1">
        <f t="shared" si="596"/>
        <v>0.75051171953190676</v>
      </c>
      <c r="H906" s="1">
        <f t="shared" si="596"/>
        <v>1.3204357407590123E-2</v>
      </c>
      <c r="I906" s="1">
        <f t="shared" si="596"/>
        <v>2.6910782154470109E-3</v>
      </c>
      <c r="J906" s="1">
        <f t="shared" si="596"/>
        <v>2.6948005072112524E-3</v>
      </c>
      <c r="K906" s="1">
        <f t="shared" si="596"/>
        <v>0</v>
      </c>
    </row>
    <row r="907" spans="2:11" x14ac:dyDescent="0.35">
      <c r="B907" s="5" t="str">
        <f t="shared" si="584"/>
        <v>SPS2</v>
      </c>
      <c r="C907" s="5" t="str">
        <f t="shared" si="583"/>
        <v>CH</v>
      </c>
      <c r="D907" t="s">
        <v>504</v>
      </c>
      <c r="E907" t="s">
        <v>8</v>
      </c>
      <c r="F907" s="1">
        <f t="shared" si="596"/>
        <v>0</v>
      </c>
      <c r="G907" s="1">
        <f t="shared" si="596"/>
        <v>0</v>
      </c>
      <c r="H907" s="1">
        <f t="shared" si="596"/>
        <v>0</v>
      </c>
      <c r="I907" s="1">
        <f t="shared" si="596"/>
        <v>0</v>
      </c>
      <c r="J907" s="1">
        <f t="shared" si="596"/>
        <v>0</v>
      </c>
      <c r="K907" s="1">
        <f t="shared" si="596"/>
        <v>0</v>
      </c>
    </row>
    <row r="908" spans="2:11" x14ac:dyDescent="0.35">
      <c r="B908" s="5" t="str">
        <f t="shared" si="584"/>
        <v>SPS2</v>
      </c>
      <c r="C908" s="5" t="str">
        <f t="shared" si="583"/>
        <v>CH</v>
      </c>
      <c r="D908" t="s">
        <v>505</v>
      </c>
      <c r="E908" t="s">
        <v>8</v>
      </c>
      <c r="F908" s="1">
        <f t="shared" ref="F908:K908" si="597">F285</f>
        <v>0</v>
      </c>
      <c r="G908" s="1">
        <f t="shared" si="597"/>
        <v>0</v>
      </c>
      <c r="H908" s="1">
        <f t="shared" si="597"/>
        <v>0</v>
      </c>
      <c r="I908" s="1">
        <f t="shared" si="597"/>
        <v>1.7522366974657077E-3</v>
      </c>
      <c r="J908" s="1">
        <f t="shared" si="597"/>
        <v>3.0527989463652637E-3</v>
      </c>
      <c r="K908" s="1">
        <f t="shared" si="597"/>
        <v>2.3596862195419052E-3</v>
      </c>
    </row>
    <row r="909" spans="2:11" x14ac:dyDescent="0.35">
      <c r="B909" s="5" t="str">
        <f t="shared" si="584"/>
        <v>SPS2</v>
      </c>
      <c r="C909" s="5" t="str">
        <f t="shared" si="583"/>
        <v>CH</v>
      </c>
      <c r="D909" t="s">
        <v>506</v>
      </c>
      <c r="E909" t="s">
        <v>8</v>
      </c>
      <c r="F909" s="1">
        <f t="shared" ref="F909:K909" si="598">F288</f>
        <v>0</v>
      </c>
      <c r="G909" s="1">
        <f t="shared" si="598"/>
        <v>0</v>
      </c>
      <c r="H909" s="1">
        <f t="shared" si="598"/>
        <v>0</v>
      </c>
      <c r="I909" s="1">
        <f t="shared" si="598"/>
        <v>1.0014175980366418E-2</v>
      </c>
      <c r="J909" s="1">
        <f t="shared" si="598"/>
        <v>1.7446670270192789E-2</v>
      </c>
      <c r="K909" s="1">
        <f t="shared" si="598"/>
        <v>2.6213233000004304E-3</v>
      </c>
    </row>
    <row r="910" spans="2:11" x14ac:dyDescent="0.35">
      <c r="B910" s="5" t="str">
        <f t="shared" si="584"/>
        <v>SPS2</v>
      </c>
      <c r="C910" s="5" t="str">
        <f t="shared" si="583"/>
        <v>CH</v>
      </c>
      <c r="D910" t="s">
        <v>971</v>
      </c>
      <c r="E910" t="s">
        <v>8</v>
      </c>
      <c r="F910" s="1">
        <f>F903-F904</f>
        <v>5.6100151390591604</v>
      </c>
      <c r="G910" s="1">
        <f t="shared" ref="G910:K910" si="599">G903-G904</f>
        <v>6.0767094627013627</v>
      </c>
      <c r="H910" s="1">
        <f t="shared" si="599"/>
        <v>5.92831792876978</v>
      </c>
      <c r="I910" s="1">
        <f t="shared" si="599"/>
        <v>7.6023148085013244</v>
      </c>
      <c r="J910" s="1">
        <f t="shared" si="599"/>
        <v>9.2777175046102229</v>
      </c>
      <c r="K910" s="1">
        <f t="shared" si="599"/>
        <v>8.9957532273073646</v>
      </c>
    </row>
    <row r="911" spans="2:11" x14ac:dyDescent="0.35">
      <c r="B911" s="5" t="str">
        <f t="shared" si="584"/>
        <v>SPS2</v>
      </c>
      <c r="C911" s="5" t="str">
        <f t="shared" si="583"/>
        <v>CH</v>
      </c>
      <c r="D911" t="s">
        <v>972</v>
      </c>
      <c r="E911" t="s">
        <v>8</v>
      </c>
      <c r="F911" s="1">
        <f>F912</f>
        <v>8.5743836214710019</v>
      </c>
      <c r="G911" s="1">
        <f t="shared" ref="G911:K911" si="600">G912</f>
        <v>7.0159668003863764</v>
      </c>
      <c r="H911" s="1">
        <f t="shared" si="600"/>
        <v>10.535524397046791</v>
      </c>
      <c r="I911" s="1">
        <f t="shared" si="600"/>
        <v>10.010655859705556</v>
      </c>
      <c r="J911" s="1">
        <f t="shared" si="600"/>
        <v>7.4588270209558445</v>
      </c>
      <c r="K911" s="1">
        <f t="shared" si="600"/>
        <v>4.9886755749393394</v>
      </c>
    </row>
    <row r="912" spans="2:11" x14ac:dyDescent="0.35">
      <c r="B912" s="5" t="str">
        <f t="shared" si="584"/>
        <v>SPS2</v>
      </c>
      <c r="C912" s="5" t="str">
        <f t="shared" si="583"/>
        <v>CH</v>
      </c>
      <c r="D912" t="s">
        <v>973</v>
      </c>
      <c r="E912" t="s">
        <v>8</v>
      </c>
      <c r="F912" s="1" cm="1">
        <f t="array" ref="F912">SUMPRODUCT(([1]OUT_FinalEnergyCons!$B$4:$B$10000="Var_Fin")*1, ISNUMBER(SEARCH("WOD",[1]OUT_FinalEnergyCons!$C$4:$C$10000))*1,(ISNUMBER(SEARCH("SCOM-SHWODBR",[1]OUT_FinalEnergyCons!$A$4:$A$10000)))*1,[1]OUT_FinalEnergyCons!D$4:D$10000)</f>
        <v>8.5743836214710019</v>
      </c>
      <c r="G912" s="1" cm="1">
        <f t="array" ref="G912">SUMPRODUCT(([1]OUT_FinalEnergyCons!$B$4:$B$10000="Var_Fin")*1, ISNUMBER(SEARCH("WOD",[1]OUT_FinalEnergyCons!$C$4:$C$10000))*1,(ISNUMBER(SEARCH("SCOM-SHWODBR",[1]OUT_FinalEnergyCons!$A$4:$A$10000)))*1,[1]OUT_FinalEnergyCons!E$4:E$10000)</f>
        <v>7.0159668003863764</v>
      </c>
      <c r="H912" s="1" cm="1">
        <f t="array" ref="H912">SUMPRODUCT(([1]OUT_FinalEnergyCons!$B$4:$B$10000="Var_Fin")*1, ISNUMBER(SEARCH("WOD",[1]OUT_FinalEnergyCons!$C$4:$C$10000))*1,(ISNUMBER(SEARCH("SCOM-SHWODBR",[1]OUT_FinalEnergyCons!$A$4:$A$10000)))*1,[1]OUT_FinalEnergyCons!F$4:F$10000)</f>
        <v>10.535524397046791</v>
      </c>
      <c r="I912" s="1" cm="1">
        <f t="array" ref="I912">SUMPRODUCT(([1]OUT_FinalEnergyCons!$B$4:$B$10000="Var_Fin")*1, ISNUMBER(SEARCH("WOD",[1]OUT_FinalEnergyCons!$C$4:$C$10000))*1,(ISNUMBER(SEARCH("SCOM-SHWODBR",[1]OUT_FinalEnergyCons!$A$4:$A$10000)))*1,[1]OUT_FinalEnergyCons!G$4:G$10000)</f>
        <v>10.010655859705556</v>
      </c>
      <c r="J912" s="1" cm="1">
        <f t="array" ref="J912">SUMPRODUCT(([1]OUT_FinalEnergyCons!$B$4:$B$10000="Var_Fin")*1, ISNUMBER(SEARCH("WOD",[1]OUT_FinalEnergyCons!$C$4:$C$10000))*1,(ISNUMBER(SEARCH("SCOM-SHWODBR",[1]OUT_FinalEnergyCons!$A$4:$A$10000)))*1,[1]OUT_FinalEnergyCons!H$4:H$10000)</f>
        <v>7.4588270209558445</v>
      </c>
      <c r="K912" s="1" cm="1">
        <f t="array" ref="K912">SUMPRODUCT(([1]OUT_FinalEnergyCons!$B$4:$B$10000="Var_Fin")*1, ISNUMBER(SEARCH("WOD",[1]OUT_FinalEnergyCons!$C$4:$C$10000))*1,(ISNUMBER(SEARCH("SCOM-SHWODBR",[1]OUT_FinalEnergyCons!$A$4:$A$10000)))*1,[1]OUT_FinalEnergyCons!I$4:I$10000)</f>
        <v>4.9886755749393394</v>
      </c>
    </row>
    <row r="913" spans="2:12" x14ac:dyDescent="0.35">
      <c r="B913" s="5" t="str">
        <f t="shared" si="584"/>
        <v>SPS2</v>
      </c>
      <c r="C913" s="5" t="str">
        <f t="shared" si="583"/>
        <v>CH</v>
      </c>
      <c r="D913" t="s">
        <v>974</v>
      </c>
      <c r="E913" t="s">
        <v>8</v>
      </c>
      <c r="F913" s="1">
        <f>F914</f>
        <v>2.0856497062270649</v>
      </c>
      <c r="G913" s="1">
        <f t="shared" ref="G913:K913" si="601">G914</f>
        <v>2.4001032503386051</v>
      </c>
      <c r="H913" s="1">
        <f t="shared" si="601"/>
        <v>0.57418847339101009</v>
      </c>
      <c r="I913" s="1">
        <f t="shared" si="601"/>
        <v>0.72927329760050885</v>
      </c>
      <c r="J913" s="1">
        <f t="shared" si="601"/>
        <v>1.0699252584094092</v>
      </c>
      <c r="K913" s="1">
        <f t="shared" si="601"/>
        <v>1.0717054638767578</v>
      </c>
    </row>
    <row r="914" spans="2:12" x14ac:dyDescent="0.35">
      <c r="B914" s="5" t="str">
        <f t="shared" si="584"/>
        <v>SPS2</v>
      </c>
      <c r="C914" s="5" t="str">
        <f t="shared" si="583"/>
        <v>CH</v>
      </c>
      <c r="D914" t="s">
        <v>975</v>
      </c>
      <c r="E914" t="s">
        <v>8</v>
      </c>
      <c r="F914" s="1" cm="1">
        <f t="array" ref="F914">SUMPRODUCT(([1]OUT_FinalEnergyCons!$B$4:$B$10000="Var_Fin")*1,ISNUMBER(SEARCH("SPLT",[1]OUT_FinalEnergyCons!$C$4:$C$10000))*1, (ISNUMBER(SEARCH("SCOM-SHPLTBR",[1]OUT_FinalEnergyCons!$A$4:$A$10000)))*1,[1]OUT_FinalEnergyCons!D$4:D$10000)</f>
        <v>2.0856497062270649</v>
      </c>
      <c r="G914" s="1" cm="1">
        <f t="array" ref="G914">SUMPRODUCT(([1]OUT_FinalEnergyCons!$B$4:$B$10000="Var_Fin")*1,ISNUMBER(SEARCH("SPLT",[1]OUT_FinalEnergyCons!$C$4:$C$10000))*1, (ISNUMBER(SEARCH("SCOM-SHPLTBR",[1]OUT_FinalEnergyCons!$A$4:$A$10000)))*1,[1]OUT_FinalEnergyCons!E$4:E$10000)</f>
        <v>2.4001032503386051</v>
      </c>
      <c r="H914" s="1" cm="1">
        <f t="array" ref="H914">SUMPRODUCT(([1]OUT_FinalEnergyCons!$B$4:$B$10000="Var_Fin")*1,ISNUMBER(SEARCH("SPLT",[1]OUT_FinalEnergyCons!$C$4:$C$10000))*1, (ISNUMBER(SEARCH("SCOM-SHPLTBR",[1]OUT_FinalEnergyCons!$A$4:$A$10000)))*1,[1]OUT_FinalEnergyCons!F$4:F$10000)</f>
        <v>0.57418847339101009</v>
      </c>
      <c r="I914" s="1" cm="1">
        <f t="array" ref="I914">SUMPRODUCT(([1]OUT_FinalEnergyCons!$B$4:$B$10000="Var_Fin")*1,ISNUMBER(SEARCH("SPLT",[1]OUT_FinalEnergyCons!$C$4:$C$10000))*1, (ISNUMBER(SEARCH("SCOM-SHPLTBR",[1]OUT_FinalEnergyCons!$A$4:$A$10000)))*1,[1]OUT_FinalEnergyCons!G$4:G$10000)</f>
        <v>0.72927329760050885</v>
      </c>
      <c r="J914" s="1" cm="1">
        <f t="array" ref="J914">SUMPRODUCT(([1]OUT_FinalEnergyCons!$B$4:$B$10000="Var_Fin")*1,ISNUMBER(SEARCH("SPLT",[1]OUT_FinalEnergyCons!$C$4:$C$10000))*1, (ISNUMBER(SEARCH("SCOM-SHPLTBR",[1]OUT_FinalEnergyCons!$A$4:$A$10000)))*1,[1]OUT_FinalEnergyCons!H$4:H$10000)</f>
        <v>1.0699252584094092</v>
      </c>
      <c r="K914" s="1" cm="1">
        <f t="array" ref="K914">SUMPRODUCT(([1]OUT_FinalEnergyCons!$B$4:$B$10000="Var_Fin")*1,ISNUMBER(SEARCH("SPLT",[1]OUT_FinalEnergyCons!$C$4:$C$10000))*1, (ISNUMBER(SEARCH("SCOM-SHPLTBR",[1]OUT_FinalEnergyCons!$A$4:$A$10000)))*1,[1]OUT_FinalEnergyCons!I$4:I$10000)</f>
        <v>1.0717054638767578</v>
      </c>
    </row>
    <row r="915" spans="2:12" x14ac:dyDescent="0.35">
      <c r="B915" s="5" t="str">
        <f t="shared" si="584"/>
        <v>SPS2</v>
      </c>
      <c r="C915" s="5" t="str">
        <f t="shared" si="583"/>
        <v>CH</v>
      </c>
      <c r="D915" t="s">
        <v>976</v>
      </c>
      <c r="E915" t="s">
        <v>8</v>
      </c>
      <c r="F915" s="1">
        <f>F916</f>
        <v>0.62702142448565756</v>
      </c>
      <c r="G915" s="1">
        <f t="shared" ref="G915:K915" si="602">G916</f>
        <v>0.68738203090990213</v>
      </c>
      <c r="H915" s="1">
        <f t="shared" si="602"/>
        <v>0.56048958062033727</v>
      </c>
      <c r="I915" s="1">
        <f t="shared" si="602"/>
        <v>0.61454900556605341</v>
      </c>
      <c r="J915" s="1">
        <f t="shared" si="602"/>
        <v>0.75049685737993987</v>
      </c>
      <c r="K915" s="1">
        <f t="shared" si="602"/>
        <v>0.79614448561164552</v>
      </c>
    </row>
    <row r="916" spans="2:12" x14ac:dyDescent="0.35">
      <c r="B916" s="5" t="str">
        <f t="shared" si="584"/>
        <v>SPS2</v>
      </c>
      <c r="C916" s="5" t="str">
        <f t="shared" si="583"/>
        <v>CH</v>
      </c>
      <c r="D916" t="s">
        <v>977</v>
      </c>
      <c r="E916" t="s">
        <v>8</v>
      </c>
      <c r="F916" s="1">
        <f>[1]Services!B$19</f>
        <v>0.62702142448565756</v>
      </c>
      <c r="G916" s="1">
        <f>[1]Services!C$19</f>
        <v>0.68738203090990213</v>
      </c>
      <c r="H916" s="1">
        <f>[1]Services!D$19</f>
        <v>0.56048958062033727</v>
      </c>
      <c r="I916" s="1">
        <f>[1]Services!E$19</f>
        <v>0.61454900556605341</v>
      </c>
      <c r="J916" s="1">
        <f>[1]Services!F$19</f>
        <v>0.75049685737993987</v>
      </c>
      <c r="K916" s="1">
        <f>[1]Services!G$19</f>
        <v>0.79614448561164552</v>
      </c>
    </row>
    <row r="917" spans="2:12" x14ac:dyDescent="0.35">
      <c r="B917" s="5" t="str">
        <f t="shared" si="584"/>
        <v>SPS2</v>
      </c>
      <c r="C917" s="5" t="str">
        <f t="shared" si="583"/>
        <v>CH</v>
      </c>
      <c r="D917" t="s">
        <v>978</v>
      </c>
      <c r="E917" t="s">
        <v>8</v>
      </c>
      <c r="F917" s="1">
        <f>[1]Services!B$20</f>
        <v>0</v>
      </c>
      <c r="G917" s="1">
        <f>[1]Services!C$20</f>
        <v>0</v>
      </c>
      <c r="H917" s="1">
        <f>[1]Services!D$20</f>
        <v>0</v>
      </c>
      <c r="I917" s="1">
        <f>[1]Services!E$20</f>
        <v>1.2192651964177438E-2</v>
      </c>
      <c r="J917" s="1">
        <f>[1]Services!F$20</f>
        <v>1.4471677353665049E-2</v>
      </c>
      <c r="K917" s="1">
        <f>[1]Services!G$20</f>
        <v>1.8016544509472988E-3</v>
      </c>
    </row>
    <row r="918" spans="2:12" x14ac:dyDescent="0.35">
      <c r="B918" s="5" t="str">
        <f t="shared" si="584"/>
        <v>SPS2</v>
      </c>
      <c r="C918" s="5" t="str">
        <f t="shared" si="583"/>
        <v>CH</v>
      </c>
      <c r="D918" t="s">
        <v>746</v>
      </c>
      <c r="E918" t="s">
        <v>8</v>
      </c>
      <c r="F918" s="1">
        <f>F917-F919</f>
        <v>0</v>
      </c>
      <c r="G918" s="1">
        <f t="shared" ref="G918:K918" si="603">G917-G919</f>
        <v>0</v>
      </c>
      <c r="H918" s="1">
        <f t="shared" si="603"/>
        <v>0</v>
      </c>
      <c r="I918" s="1">
        <f t="shared" si="603"/>
        <v>0</v>
      </c>
      <c r="J918" s="1">
        <f t="shared" si="603"/>
        <v>0</v>
      </c>
      <c r="K918" s="1">
        <f t="shared" si="603"/>
        <v>0</v>
      </c>
    </row>
    <row r="919" spans="2:12" x14ac:dyDescent="0.35">
      <c r="B919" s="5" t="str">
        <f t="shared" si="584"/>
        <v>SPS2</v>
      </c>
      <c r="C919" s="5" t="str">
        <f t="shared" si="583"/>
        <v>CH</v>
      </c>
      <c r="D919" t="s">
        <v>747</v>
      </c>
      <c r="E919" t="s">
        <v>8</v>
      </c>
      <c r="F919" s="1">
        <f>F920</f>
        <v>0</v>
      </c>
      <c r="G919" s="1">
        <f t="shared" ref="G919:K919" si="604">G920</f>
        <v>0</v>
      </c>
      <c r="H919" s="1">
        <f t="shared" si="604"/>
        <v>0</v>
      </c>
      <c r="I919" s="1">
        <f t="shared" si="604"/>
        <v>1.2192651964177438E-2</v>
      </c>
      <c r="J919" s="1">
        <f t="shared" si="604"/>
        <v>1.4471677353665049E-2</v>
      </c>
      <c r="K919" s="1">
        <f t="shared" si="604"/>
        <v>1.8016544509472988E-3</v>
      </c>
    </row>
    <row r="920" spans="2:12" x14ac:dyDescent="0.35">
      <c r="B920" s="5" t="str">
        <f t="shared" si="584"/>
        <v>SPS2</v>
      </c>
      <c r="C920" s="5" t="str">
        <f>C917</f>
        <v>CH</v>
      </c>
      <c r="D920" t="s">
        <v>979</v>
      </c>
      <c r="E920" t="s">
        <v>8</v>
      </c>
      <c r="F920" s="1">
        <f>[1]Services!B$20</f>
        <v>0</v>
      </c>
      <c r="G920" s="1">
        <f>[1]Services!C$20</f>
        <v>0</v>
      </c>
      <c r="H920" s="1">
        <f>[1]Services!D$20</f>
        <v>0</v>
      </c>
      <c r="I920" s="1">
        <f>[1]Services!E$20</f>
        <v>1.2192651964177438E-2</v>
      </c>
      <c r="J920" s="1">
        <f>[1]Services!F$20</f>
        <v>1.4471677353665049E-2</v>
      </c>
      <c r="K920" s="1">
        <f>[1]Services!G$20</f>
        <v>1.8016544509472988E-3</v>
      </c>
    </row>
    <row r="921" spans="2:12" x14ac:dyDescent="0.35">
      <c r="B921" s="5" t="str">
        <f t="shared" si="584"/>
        <v>SPS2</v>
      </c>
      <c r="C921" s="5" t="str">
        <f t="shared" si="583"/>
        <v>CH</v>
      </c>
      <c r="D921" t="s">
        <v>980</v>
      </c>
      <c r="E921" t="s">
        <v>8</v>
      </c>
      <c r="F921" s="1">
        <f>F922</f>
        <v>2.9296704015116966</v>
      </c>
      <c r="G921" s="1">
        <f t="shared" ref="G921:K921" si="605">G922</f>
        <v>3.1924865799762232</v>
      </c>
      <c r="H921" s="1">
        <f t="shared" si="605"/>
        <v>3.0401752294453601</v>
      </c>
      <c r="I921" s="1">
        <f t="shared" si="605"/>
        <v>5.4820967859744325</v>
      </c>
      <c r="J921" s="1">
        <f t="shared" si="605"/>
        <v>11.025068161279107</v>
      </c>
      <c r="K921" s="1">
        <f t="shared" si="605"/>
        <v>13.211994535364529</v>
      </c>
    </row>
    <row r="922" spans="2:12" x14ac:dyDescent="0.35">
      <c r="B922" s="5" t="str">
        <f t="shared" si="584"/>
        <v>SPS2</v>
      </c>
      <c r="C922" s="5" t="str">
        <f t="shared" si="583"/>
        <v>CH</v>
      </c>
      <c r="D922" t="s">
        <v>981</v>
      </c>
      <c r="E922" t="s">
        <v>8</v>
      </c>
      <c r="F922" s="1">
        <f>[1]Services!B$21-F923</f>
        <v>2.9296704015116966</v>
      </c>
      <c r="G922" s="1">
        <f>[1]Services!C$21-G923</f>
        <v>3.1924865799762232</v>
      </c>
      <c r="H922" s="1">
        <f>[1]Services!D$21-H923</f>
        <v>3.0401752294453601</v>
      </c>
      <c r="I922" s="1">
        <f>[1]Services!E$21-I923</f>
        <v>5.4820967859744325</v>
      </c>
      <c r="J922" s="1">
        <f>[1]Services!F$21-J923</f>
        <v>11.025068161279107</v>
      </c>
      <c r="K922" s="1">
        <f>[1]Services!G$21-K923</f>
        <v>13.211994535364529</v>
      </c>
    </row>
    <row r="923" spans="2:12" x14ac:dyDescent="0.35">
      <c r="B923" s="5" t="str">
        <f t="shared" si="584"/>
        <v>SPS2</v>
      </c>
      <c r="C923" s="5" t="str">
        <f t="shared" ref="C923" si="606">C922</f>
        <v>CH</v>
      </c>
      <c r="D923" t="s">
        <v>982</v>
      </c>
      <c r="E923" t="s">
        <v>8</v>
      </c>
      <c r="F923" s="1">
        <f>[1]Services!B$50-F894</f>
        <v>0</v>
      </c>
      <c r="G923" s="1">
        <f>[1]Services!C$50-G894</f>
        <v>0</v>
      </c>
      <c r="H923" s="1">
        <f>[1]Services!D$50-H894</f>
        <v>1.1626308475843867</v>
      </c>
      <c r="I923" s="1">
        <f>[1]Services!E$50-I894</f>
        <v>3.3920413855201286</v>
      </c>
      <c r="J923" s="1">
        <f>[1]Services!F$50-J894</f>
        <v>5.9552446225672586</v>
      </c>
      <c r="K923" s="1">
        <f>[1]Services!G$50-K894</f>
        <v>6.5740749332415342</v>
      </c>
    </row>
    <row r="924" spans="2:12" x14ac:dyDescent="0.35">
      <c r="B924" s="9" t="str">
        <f t="shared" si="584"/>
        <v>SPS2</v>
      </c>
      <c r="C924" s="9" t="str">
        <f>C852</f>
        <v>CH</v>
      </c>
      <c r="D924" s="2" t="s">
        <v>697</v>
      </c>
      <c r="E924" s="9" t="s">
        <v>8</v>
      </c>
      <c r="F924" s="17">
        <f>[1]Services!B$59</f>
        <v>73.238649089658026</v>
      </c>
      <c r="G924" s="17">
        <f>[1]Services!C$59</f>
        <v>78.575095611124027</v>
      </c>
      <c r="H924" s="17">
        <f>[1]Services!D$59</f>
        <v>62.634833245909107</v>
      </c>
      <c r="I924" s="17">
        <f>[1]Services!E$59</f>
        <v>60.956247079435578</v>
      </c>
      <c r="J924" s="17">
        <f>[1]Services!F$59</f>
        <v>59.926187093325723</v>
      </c>
      <c r="K924" s="17">
        <f>[1]Services!G$59</f>
        <v>58.436236760858591</v>
      </c>
    </row>
    <row r="925" spans="2:12" x14ac:dyDescent="0.35">
      <c r="B925" s="5" t="str">
        <f t="shared" si="584"/>
        <v>SPS2</v>
      </c>
      <c r="C925" s="5" t="str">
        <f>C924</f>
        <v>CH</v>
      </c>
      <c r="D925" t="s">
        <v>983</v>
      </c>
      <c r="E925" t="s">
        <v>8</v>
      </c>
      <c r="F925" s="1">
        <f>SUM(F926:F928)</f>
        <v>63.65021767228631</v>
      </c>
      <c r="G925" s="1">
        <f t="shared" ref="G925:K925" si="607">SUM(G926:G928)</f>
        <v>63.516338687073045</v>
      </c>
      <c r="H925" s="1">
        <f t="shared" si="607"/>
        <v>63.698497183834299</v>
      </c>
      <c r="I925" s="1">
        <f t="shared" si="607"/>
        <v>63.535111985695835</v>
      </c>
      <c r="J925" s="1">
        <f t="shared" si="607"/>
        <v>67.697256242003206</v>
      </c>
      <c r="K925" s="1">
        <f t="shared" si="607"/>
        <v>66.236812436420252</v>
      </c>
    </row>
    <row r="926" spans="2:12" x14ac:dyDescent="0.35">
      <c r="B926" s="5" t="str">
        <f t="shared" si="584"/>
        <v>SPS2</v>
      </c>
      <c r="C926" s="5" t="str">
        <f>C925</f>
        <v>CH</v>
      </c>
      <c r="D926" t="s">
        <v>760</v>
      </c>
      <c r="E926" t="s">
        <v>8</v>
      </c>
      <c r="F926" s="1" cm="1">
        <f t="array" ref="F926">SUMPRODUCT(([1]OUT_FinalEnergyCons!$B$4:$B$10000="Var_FOut")*1, ISNUMBER(SEARCH("SCOM-SHAELC",[1]OUT_FinalEnergyCons!$C$4:$C$10000))*1, (ISNUMBER(SEARCH("SCOM-SHELCBR",[1]OUT_FinalEnergyCons!$A$4:$A$10000)))*1,[1]OUT_FinalEnergyCons!D$4:D$10000)</f>
        <v>2.3941043315386739</v>
      </c>
      <c r="G926" s="1" cm="1">
        <f t="array" ref="G926">SUMPRODUCT(([1]OUT_FinalEnergyCons!$B$4:$B$10000="Var_FOut")*1, ISNUMBER(SEARCH("SCOM-SHAELC",[1]OUT_FinalEnergyCons!$C$4:$C$10000))*1, (ISNUMBER(SEARCH("SCOM-SHELCBR",[1]OUT_FinalEnergyCons!$A$4:$A$10000)))*1,[1]OUT_FinalEnergyCons!E$4:E$10000)</f>
        <v>0.19673329014584731</v>
      </c>
      <c r="H926" s="1" cm="1">
        <f t="array" ref="H926">SUMPRODUCT(([1]OUT_FinalEnergyCons!$B$4:$B$10000="Var_FOut")*1, ISNUMBER(SEARCH("SCOM-SHAELC",[1]OUT_FinalEnergyCons!$C$4:$C$10000))*1, (ISNUMBER(SEARCH("SCOM-SHELCBR",[1]OUT_FinalEnergyCons!$A$4:$A$10000)))*1,[1]OUT_FinalEnergyCons!F$4:F$10000)</f>
        <v>0.52166185808401266</v>
      </c>
      <c r="I926" s="1" cm="1">
        <f t="array" ref="I926">SUMPRODUCT(([1]OUT_FinalEnergyCons!$B$4:$B$10000="Var_FOut")*1, ISNUMBER(SEARCH("SCOM-SHAELC",[1]OUT_FinalEnergyCons!$C$4:$C$10000))*1, (ISNUMBER(SEARCH("SCOM-SHELCBR",[1]OUT_FinalEnergyCons!$A$4:$A$10000)))*1,[1]OUT_FinalEnergyCons!G$4:G$10000)</f>
        <v>0.30442562088005887</v>
      </c>
      <c r="J926" s="1" cm="1">
        <f t="array" ref="J926">SUMPRODUCT(([1]OUT_FinalEnergyCons!$B$4:$B$10000="Var_FOut")*1, ISNUMBER(SEARCH("SCOM-SHAELC",[1]OUT_FinalEnergyCons!$C$4:$C$10000))*1, (ISNUMBER(SEARCH("SCOM-SHELCBR",[1]OUT_FinalEnergyCons!$A$4:$A$10000)))*1,[1]OUT_FinalEnergyCons!H$4:H$10000)</f>
        <v>0.21939898003925795</v>
      </c>
      <c r="K926" s="1" cm="1">
        <f t="array" ref="K926">SUMPRODUCT(([1]OUT_FinalEnergyCons!$B$4:$B$10000="Var_FOut")*1, ISNUMBER(SEARCH("SCOM-SHAELC",[1]OUT_FinalEnergyCons!$C$4:$C$10000))*1, (ISNUMBER(SEARCH("SCOM-SHELCBR",[1]OUT_FinalEnergyCons!$A$4:$A$10000)))*1,[1]OUT_FinalEnergyCons!I$4:I$10000)</f>
        <v>0.15846944335532848</v>
      </c>
    </row>
    <row r="927" spans="2:12" x14ac:dyDescent="0.35">
      <c r="B927" s="5" t="str">
        <f t="shared" si="584"/>
        <v>SPS2</v>
      </c>
      <c r="C927" s="5" t="str">
        <f t="shared" ref="C927:C930" si="608">C926</f>
        <v>CH</v>
      </c>
      <c r="D927" t="s">
        <v>729</v>
      </c>
      <c r="E927" t="s">
        <v>8</v>
      </c>
      <c r="F927" s="1">
        <f>[1]Services!B$47</f>
        <v>4.2613387658351947</v>
      </c>
      <c r="G927" s="1">
        <f>[1]Services!C$47</f>
        <v>4.6177038031798947</v>
      </c>
      <c r="H927" s="1">
        <f>[1]Services!D$47</f>
        <v>4.7061089620354268</v>
      </c>
      <c r="I927" s="1">
        <f>[1]Services!E$47</f>
        <v>8.0293946293717902</v>
      </c>
      <c r="J927" s="1">
        <f>[1]Services!F$47</f>
        <v>15.308631442083326</v>
      </c>
      <c r="K927" s="1">
        <f>[1]Services!G$47</f>
        <v>17.824437099783388</v>
      </c>
    </row>
    <row r="928" spans="2:12" x14ac:dyDescent="0.35">
      <c r="B928" s="5" t="str">
        <f t="shared" si="584"/>
        <v>SPS2</v>
      </c>
      <c r="C928" s="5" t="str">
        <f t="shared" si="608"/>
        <v>CH</v>
      </c>
      <c r="D928" t="s">
        <v>691</v>
      </c>
      <c r="E928" t="s">
        <v>8</v>
      </c>
      <c r="F928" s="1">
        <f>[1]Services!B$3-([1]Services!B$6-[1]Services!B$58)</f>
        <v>56.994774574912441</v>
      </c>
      <c r="G928" s="1">
        <f>[1]Services!C$3-([1]Services!C$6-[1]Services!C$58)</f>
        <v>58.701901593747301</v>
      </c>
      <c r="H928" s="1">
        <f>[1]Services!D$3-([1]Services!D$6-[1]Services!D$58)</f>
        <v>58.47072636371486</v>
      </c>
      <c r="I928" s="1">
        <f>[1]Services!E$3-([1]Services!E$6-[1]Services!E$58)</f>
        <v>55.201291735443988</v>
      </c>
      <c r="J928" s="1">
        <f>[1]Services!F$3-([1]Services!F$6-[1]Services!F$58)</f>
        <v>52.169225819880623</v>
      </c>
      <c r="K928" s="1">
        <f>[1]Services!G$3-([1]Services!G$6-[1]Services!G$58)</f>
        <v>48.253905893281527</v>
      </c>
      <c r="L928" s="1"/>
    </row>
    <row r="929" spans="2:11" x14ac:dyDescent="0.35">
      <c r="B929" s="5" t="str">
        <f t="shared" si="584"/>
        <v>SPS2</v>
      </c>
      <c r="C929" s="5" t="str">
        <f t="shared" si="608"/>
        <v>CH</v>
      </c>
      <c r="D929" t="s">
        <v>1041</v>
      </c>
      <c r="E929" t="s">
        <v>8</v>
      </c>
      <c r="F929" s="1">
        <f>F930</f>
        <v>24.843076154931914</v>
      </c>
      <c r="G929" s="1">
        <f t="shared" ref="G929:K929" si="609">G930</f>
        <v>21.790181162769422</v>
      </c>
      <c r="H929" s="1">
        <f t="shared" si="609"/>
        <v>20.213420236093356</v>
      </c>
      <c r="I929" s="1">
        <f t="shared" si="609"/>
        <v>12.357040505654568</v>
      </c>
      <c r="J929" s="1">
        <f t="shared" si="609"/>
        <v>4.2980216663655613</v>
      </c>
      <c r="K929" s="1">
        <f t="shared" si="609"/>
        <v>0.32260636710036295</v>
      </c>
    </row>
    <row r="930" spans="2:11" x14ac:dyDescent="0.35">
      <c r="B930" s="5" t="str">
        <f t="shared" si="584"/>
        <v>SPS2</v>
      </c>
      <c r="C930" s="5" t="str">
        <f t="shared" si="608"/>
        <v>CH</v>
      </c>
      <c r="D930" t="s">
        <v>1042</v>
      </c>
      <c r="E930" t="s">
        <v>8</v>
      </c>
      <c r="F930" s="1">
        <f>[1]Services!B$48</f>
        <v>24.843076154931914</v>
      </c>
      <c r="G930" s="1">
        <f>[1]Services!C$48</f>
        <v>21.790181162769422</v>
      </c>
      <c r="H930" s="1">
        <f>[1]Services!D$48</f>
        <v>20.213420236093356</v>
      </c>
      <c r="I930" s="1">
        <f>[1]Services!E$48</f>
        <v>12.357040505654568</v>
      </c>
      <c r="J930" s="1">
        <f>[1]Services!F$48</f>
        <v>4.2980216663655613</v>
      </c>
      <c r="K930" s="1">
        <f>[1]Services!G$48</f>
        <v>0.32260636710036295</v>
      </c>
    </row>
    <row r="931" spans="2:11" x14ac:dyDescent="0.35">
      <c r="B931" s="5" t="str">
        <f t="shared" si="584"/>
        <v>SPS2</v>
      </c>
      <c r="C931" s="5" t="str">
        <f>C930</f>
        <v>CH</v>
      </c>
      <c r="D931" t="s">
        <v>1043</v>
      </c>
      <c r="E931" t="s">
        <v>8</v>
      </c>
      <c r="F931" s="1">
        <f>SUM(F932:F934)</f>
        <v>25.412811195085506</v>
      </c>
      <c r="G931" s="1">
        <f t="shared" ref="G931:K931" si="610">SUM(G932:G934)</f>
        <v>26.667719247379914</v>
      </c>
      <c r="H931" s="1">
        <f t="shared" si="610"/>
        <v>21.949348406054071</v>
      </c>
      <c r="I931" s="1">
        <f t="shared" si="610"/>
        <v>21.404814618382229</v>
      </c>
      <c r="J931" s="1">
        <f t="shared" si="610"/>
        <v>16.684934315639616</v>
      </c>
      <c r="K931" s="1">
        <f t="shared" si="610"/>
        <v>13.798036626801245</v>
      </c>
    </row>
    <row r="932" spans="2:11" x14ac:dyDescent="0.35">
      <c r="B932" s="5" t="str">
        <f t="shared" si="584"/>
        <v>SPS2</v>
      </c>
      <c r="C932" s="5" t="str">
        <f t="shared" ref="C932:C951" si="611">C931</f>
        <v>CH</v>
      </c>
      <c r="D932" t="s">
        <v>1044</v>
      </c>
      <c r="E932" t="s">
        <v>8</v>
      </c>
      <c r="F932" s="1">
        <f>[1]Services!B$49</f>
        <v>24.189727369452513</v>
      </c>
      <c r="G932" s="1">
        <f>[1]Services!C$49</f>
        <v>25.326931147648423</v>
      </c>
      <c r="H932" s="1">
        <f>[1]Services!D$49</f>
        <v>19.52779915920188</v>
      </c>
      <c r="I932" s="1">
        <f>[1]Services!E$49</f>
        <v>14.650133280815719</v>
      </c>
      <c r="J932" s="1">
        <f>[1]Services!F$49</f>
        <v>5.3679721596214955</v>
      </c>
      <c r="K932" s="1">
        <f>[1]Services!G$49</f>
        <v>2.1500194880133003</v>
      </c>
    </row>
    <row r="933" spans="2:11" x14ac:dyDescent="0.35">
      <c r="B933" s="5" t="str">
        <f t="shared" si="584"/>
        <v>SPS2</v>
      </c>
      <c r="C933" s="5" t="str">
        <f t="shared" ref="C933" si="612">C932</f>
        <v>CH</v>
      </c>
      <c r="D933" t="s">
        <v>1045</v>
      </c>
      <c r="E933" t="s">
        <v>8</v>
      </c>
      <c r="F933" s="1">
        <f>[1]Services!B$50</f>
        <v>0</v>
      </c>
      <c r="G933" s="1">
        <f>[1]Services!C$50</f>
        <v>0</v>
      </c>
      <c r="H933" s="1">
        <f>[1]Services!D$50</f>
        <v>2.4215492468521922</v>
      </c>
      <c r="I933" s="1">
        <f>[1]Services!E$50</f>
        <v>6.7546813375665096</v>
      </c>
      <c r="J933" s="1">
        <f>[1]Services!F$50</f>
        <v>11.316962156018121</v>
      </c>
      <c r="K933" s="1">
        <f>[1]Services!G$50</f>
        <v>11.648017138787944</v>
      </c>
    </row>
    <row r="934" spans="2:11" x14ac:dyDescent="0.35">
      <c r="B934" s="5" t="str">
        <f t="shared" si="584"/>
        <v>SPS2</v>
      </c>
      <c r="C934" s="5" t="str">
        <f>C932</f>
        <v>CH</v>
      </c>
      <c r="D934" t="s">
        <v>1046</v>
      </c>
      <c r="E934" t="s">
        <v>8</v>
      </c>
      <c r="F934" s="1">
        <f>[1]Services!B$56</f>
        <v>1.2230838256329923</v>
      </c>
      <c r="G934" s="1">
        <f>[1]Services!C$56</f>
        <v>1.3407880997314916</v>
      </c>
      <c r="H934" s="1">
        <f>[1]Services!D$56</f>
        <v>0</v>
      </c>
      <c r="I934" s="1">
        <f>[1]Services!E$56</f>
        <v>0</v>
      </c>
      <c r="J934" s="1">
        <f>[1]Services!F$56</f>
        <v>0</v>
      </c>
      <c r="K934" s="1">
        <f>[1]Services!G$56</f>
        <v>0</v>
      </c>
    </row>
    <row r="935" spans="2:11" x14ac:dyDescent="0.35">
      <c r="B935" s="5" t="str">
        <f t="shared" si="584"/>
        <v>SPS2</v>
      </c>
      <c r="C935" s="5" t="str">
        <f t="shared" si="611"/>
        <v>CH</v>
      </c>
      <c r="D935" t="s">
        <v>984</v>
      </c>
      <c r="E935" t="s">
        <v>8</v>
      </c>
      <c r="F935" s="1">
        <f>F936+F942</f>
        <v>7.6496562747176009</v>
      </c>
      <c r="G935" s="1">
        <f t="shared" ref="G935:K935" si="613">G936+G942</f>
        <v>8.2860282809055175</v>
      </c>
      <c r="H935" s="1">
        <f t="shared" si="613"/>
        <v>4.8686410392726991</v>
      </c>
      <c r="I935" s="1">
        <f t="shared" si="613"/>
        <v>6.2703150706273947</v>
      </c>
      <c r="J935" s="1">
        <f t="shared" si="613"/>
        <v>7.6521708657904375</v>
      </c>
      <c r="K935" s="1">
        <f t="shared" si="613"/>
        <v>7.4196094812798092</v>
      </c>
    </row>
    <row r="936" spans="2:11" x14ac:dyDescent="0.35">
      <c r="B936" s="5" t="str">
        <f t="shared" si="584"/>
        <v>SPS2</v>
      </c>
      <c r="C936" s="5" t="str">
        <f t="shared" si="611"/>
        <v>CH</v>
      </c>
      <c r="D936" t="s">
        <v>985</v>
      </c>
      <c r="E936" t="s">
        <v>8</v>
      </c>
      <c r="F936" s="1">
        <f>[1]Services!B$51</f>
        <v>2.0957412870490346</v>
      </c>
      <c r="G936" s="1">
        <f>[1]Services!C$51</f>
        <v>2.2700859128311639</v>
      </c>
      <c r="H936" s="1">
        <f>[1]Services!D$51</f>
        <v>0</v>
      </c>
      <c r="I936" s="1">
        <f>[1]Services!E$51</f>
        <v>0</v>
      </c>
      <c r="J936" s="1">
        <f>[1]Services!F$51</f>
        <v>0</v>
      </c>
      <c r="K936" s="1">
        <f>[1]Services!G$51</f>
        <v>0</v>
      </c>
    </row>
    <row r="937" spans="2:11" x14ac:dyDescent="0.35">
      <c r="B937" s="5" t="str">
        <f t="shared" si="584"/>
        <v>SPS2</v>
      </c>
      <c r="C937" s="5" t="str">
        <f t="shared" si="611"/>
        <v>CH</v>
      </c>
      <c r="D937" t="s">
        <v>692</v>
      </c>
      <c r="E937" t="s">
        <v>8</v>
      </c>
      <c r="F937" s="1">
        <f>IFERROR(F905/F$904,0)*F$936</f>
        <v>1.4100475675271453</v>
      </c>
      <c r="G937" s="1">
        <f t="shared" ref="G937:K937" si="614">IFERROR(G905/G$904,0)*G$936</f>
        <v>1.5270793104945761</v>
      </c>
      <c r="H937" s="1">
        <f t="shared" si="614"/>
        <v>0</v>
      </c>
      <c r="I937" s="1">
        <f t="shared" si="614"/>
        <v>0</v>
      </c>
      <c r="J937" s="1">
        <f t="shared" si="614"/>
        <v>0</v>
      </c>
      <c r="K937" s="1">
        <f t="shared" si="614"/>
        <v>0</v>
      </c>
    </row>
    <row r="938" spans="2:11" x14ac:dyDescent="0.35">
      <c r="B938" s="5" t="str">
        <f t="shared" si="584"/>
        <v>SPS2</v>
      </c>
      <c r="C938" s="5" t="str">
        <f t="shared" si="611"/>
        <v>CH</v>
      </c>
      <c r="D938" t="s">
        <v>693</v>
      </c>
      <c r="E938" t="s">
        <v>8</v>
      </c>
      <c r="F938" s="1">
        <f>IFERROR(F906/F$904,0)*F$936</f>
        <v>0.68569371952188918</v>
      </c>
      <c r="G938" s="1">
        <f t="shared" ref="G938:K941" si="615">IFERROR(G906/G$904,0)*G$936</f>
        <v>0.74300660233658766</v>
      </c>
      <c r="H938" s="1">
        <f t="shared" si="615"/>
        <v>0</v>
      </c>
      <c r="I938" s="1">
        <f t="shared" si="615"/>
        <v>0</v>
      </c>
      <c r="J938" s="1">
        <f t="shared" si="615"/>
        <v>0</v>
      </c>
      <c r="K938" s="1">
        <f t="shared" si="615"/>
        <v>0</v>
      </c>
    </row>
    <row r="939" spans="2:11" x14ac:dyDescent="0.35">
      <c r="B939" s="5" t="str">
        <f t="shared" si="584"/>
        <v>SPS2</v>
      </c>
      <c r="C939" s="5" t="str">
        <f t="shared" si="611"/>
        <v>CH</v>
      </c>
      <c r="D939" t="s">
        <v>694</v>
      </c>
      <c r="E939" t="s">
        <v>8</v>
      </c>
      <c r="F939" s="1">
        <f>IFERROR(F907/F$904,0)*F$936</f>
        <v>0</v>
      </c>
      <c r="G939" s="1">
        <f t="shared" si="615"/>
        <v>0</v>
      </c>
      <c r="H939" s="1">
        <f t="shared" si="615"/>
        <v>0</v>
      </c>
      <c r="I939" s="1">
        <f t="shared" si="615"/>
        <v>0</v>
      </c>
      <c r="J939" s="1">
        <f t="shared" si="615"/>
        <v>0</v>
      </c>
      <c r="K939" s="1">
        <f t="shared" si="615"/>
        <v>0</v>
      </c>
    </row>
    <row r="940" spans="2:11" x14ac:dyDescent="0.35">
      <c r="B940" s="5" t="str">
        <f t="shared" si="584"/>
        <v>SPS2</v>
      </c>
      <c r="C940" s="5" t="str">
        <f t="shared" si="611"/>
        <v>CH</v>
      </c>
      <c r="D940" t="s">
        <v>695</v>
      </c>
      <c r="E940" t="s">
        <v>8</v>
      </c>
      <c r="F940" s="1">
        <f>IFERROR(F908/F$904,0)*F$936</f>
        <v>0</v>
      </c>
      <c r="G940" s="1">
        <f t="shared" si="615"/>
        <v>0</v>
      </c>
      <c r="H940" s="1">
        <f t="shared" si="615"/>
        <v>0</v>
      </c>
      <c r="I940" s="1">
        <f t="shared" si="615"/>
        <v>0</v>
      </c>
      <c r="J940" s="1">
        <f t="shared" si="615"/>
        <v>0</v>
      </c>
      <c r="K940" s="1">
        <f t="shared" si="615"/>
        <v>0</v>
      </c>
    </row>
    <row r="941" spans="2:11" x14ac:dyDescent="0.35">
      <c r="B941" s="5" t="str">
        <f t="shared" si="584"/>
        <v>SPS2</v>
      </c>
      <c r="C941" s="5" t="str">
        <f t="shared" si="611"/>
        <v>CH</v>
      </c>
      <c r="D941" t="s">
        <v>696</v>
      </c>
      <c r="E941" t="s">
        <v>8</v>
      </c>
      <c r="F941" s="1">
        <f>IFERROR(F909/F$904,0)*F$936</f>
        <v>0</v>
      </c>
      <c r="G941" s="1">
        <f t="shared" si="615"/>
        <v>0</v>
      </c>
      <c r="H941" s="1">
        <f t="shared" si="615"/>
        <v>0</v>
      </c>
      <c r="I941" s="1">
        <f t="shared" si="615"/>
        <v>0</v>
      </c>
      <c r="J941" s="1">
        <f t="shared" si="615"/>
        <v>0</v>
      </c>
      <c r="K941" s="1">
        <f t="shared" si="615"/>
        <v>0</v>
      </c>
    </row>
    <row r="942" spans="2:11" x14ac:dyDescent="0.35">
      <c r="B942" s="5" t="str">
        <f t="shared" si="584"/>
        <v>SPS2</v>
      </c>
      <c r="C942" s="5" t="str">
        <f t="shared" si="611"/>
        <v>CH</v>
      </c>
      <c r="D942" t="s">
        <v>986</v>
      </c>
      <c r="E942" t="s">
        <v>8</v>
      </c>
      <c r="F942" s="1">
        <f>[1]Services!B$52</f>
        <v>5.5539149876685663</v>
      </c>
      <c r="G942" s="1">
        <f>[1]Services!C$52</f>
        <v>6.015942368074354</v>
      </c>
      <c r="H942" s="1">
        <f>[1]Services!D$52</f>
        <v>4.8686410392726991</v>
      </c>
      <c r="I942" s="1">
        <f>[1]Services!E$52</f>
        <v>6.2703150706273947</v>
      </c>
      <c r="J942" s="1">
        <f>[1]Services!F$52</f>
        <v>7.6521708657904375</v>
      </c>
      <c r="K942" s="1">
        <f>[1]Services!G$52</f>
        <v>7.4196094812798092</v>
      </c>
    </row>
    <row r="943" spans="2:11" x14ac:dyDescent="0.35">
      <c r="B943" s="5" t="str">
        <f t="shared" si="584"/>
        <v>SPS2</v>
      </c>
      <c r="C943" s="5" t="str">
        <f t="shared" si="611"/>
        <v>CH</v>
      </c>
      <c r="D943" t="s">
        <v>987</v>
      </c>
      <c r="E943" t="s">
        <v>8</v>
      </c>
      <c r="F943" s="1">
        <f>F944</f>
        <v>6.173556207459117</v>
      </c>
      <c r="G943" s="1">
        <f t="shared" ref="G943:K943" si="616">G944</f>
        <v>5.0514960962781865</v>
      </c>
      <c r="H943" s="1">
        <f t="shared" si="616"/>
        <v>7.1142201658759747</v>
      </c>
      <c r="I943" s="1">
        <f t="shared" si="616"/>
        <v>6.789672862975773</v>
      </c>
      <c r="J943" s="1">
        <f t="shared" si="616"/>
        <v>5.0791109759935136</v>
      </c>
      <c r="K943" s="1">
        <f t="shared" si="616"/>
        <v>3.5070307934725204</v>
      </c>
    </row>
    <row r="944" spans="2:11" x14ac:dyDescent="0.35">
      <c r="B944" s="5" t="str">
        <f t="shared" si="584"/>
        <v>SPS2</v>
      </c>
      <c r="C944" s="5" t="str">
        <f t="shared" si="611"/>
        <v>CH</v>
      </c>
      <c r="D944" t="s">
        <v>988</v>
      </c>
      <c r="E944" t="s">
        <v>8</v>
      </c>
      <c r="F944" s="1">
        <f>[1]Services!B$53</f>
        <v>6.173556207459117</v>
      </c>
      <c r="G944" s="1">
        <f>[1]Services!C$53</f>
        <v>5.0514960962781865</v>
      </c>
      <c r="H944" s="1">
        <f>[1]Services!D$53</f>
        <v>7.1142201658759747</v>
      </c>
      <c r="I944" s="1">
        <f>[1]Services!E$53</f>
        <v>6.789672862975773</v>
      </c>
      <c r="J944" s="1">
        <f>[1]Services!F$53</f>
        <v>5.0791109759935136</v>
      </c>
      <c r="K944" s="1">
        <f>[1]Services!G$53</f>
        <v>3.5070307934725204</v>
      </c>
    </row>
    <row r="945" spans="2:11" x14ac:dyDescent="0.35">
      <c r="B945" s="5" t="str">
        <f t="shared" si="584"/>
        <v>SPS2</v>
      </c>
      <c r="C945" s="5" t="str">
        <f t="shared" si="611"/>
        <v>CH</v>
      </c>
      <c r="D945" t="s">
        <v>989</v>
      </c>
      <c r="E945" t="s">
        <v>8</v>
      </c>
      <c r="F945" s="1">
        <f>F946</f>
        <v>1.8770847356043596</v>
      </c>
      <c r="G945" s="1">
        <f t="shared" ref="G945:K945" si="617">G946</f>
        <v>2.1600929253047449</v>
      </c>
      <c r="H945" s="1">
        <f t="shared" si="617"/>
        <v>0.3783118770640318</v>
      </c>
      <c r="I945" s="1">
        <f t="shared" si="617"/>
        <v>0.48317692086810543</v>
      </c>
      <c r="J945" s="1">
        <f t="shared" si="617"/>
        <v>0.72702472074804825</v>
      </c>
      <c r="K945" s="1">
        <f t="shared" si="617"/>
        <v>0.73139638269459206</v>
      </c>
    </row>
    <row r="946" spans="2:11" x14ac:dyDescent="0.35">
      <c r="B946" s="5" t="str">
        <f t="shared" si="584"/>
        <v>SPS2</v>
      </c>
      <c r="C946" s="5" t="str">
        <f t="shared" si="611"/>
        <v>CH</v>
      </c>
      <c r="D946" t="s">
        <v>990</v>
      </c>
      <c r="E946" t="s">
        <v>8</v>
      </c>
      <c r="F946" s="1">
        <f>[1]Services!B$54</f>
        <v>1.8770847356043596</v>
      </c>
      <c r="G946" s="1">
        <f>[1]Services!C$54</f>
        <v>2.1600929253047449</v>
      </c>
      <c r="H946" s="1">
        <f>[1]Services!D$54</f>
        <v>0.3783118770640318</v>
      </c>
      <c r="I946" s="1">
        <f>[1]Services!E$54</f>
        <v>0.48317692086810543</v>
      </c>
      <c r="J946" s="1">
        <f>[1]Services!F$54</f>
        <v>0.72702472074804825</v>
      </c>
      <c r="K946" s="1">
        <f>[1]Services!G$54</f>
        <v>0.73139638269459206</v>
      </c>
    </row>
    <row r="947" spans="2:11" x14ac:dyDescent="0.35">
      <c r="B947" s="5" t="str">
        <f t="shared" si="584"/>
        <v>SPS2</v>
      </c>
      <c r="C947" s="5" t="str">
        <f t="shared" si="611"/>
        <v>CH</v>
      </c>
      <c r="D947" t="s">
        <v>991</v>
      </c>
      <c r="E947" t="s">
        <v>8</v>
      </c>
      <c r="F947" s="1">
        <f>F948</f>
        <v>0.62702142448565756</v>
      </c>
      <c r="G947" s="1">
        <f t="shared" ref="G947:K947" si="618">G948</f>
        <v>0.68738203090990213</v>
      </c>
      <c r="H947" s="1">
        <f t="shared" si="618"/>
        <v>0.56048958062033727</v>
      </c>
      <c r="I947" s="1">
        <f t="shared" si="618"/>
        <v>0.61454900556605341</v>
      </c>
      <c r="J947" s="1">
        <f t="shared" si="618"/>
        <v>0.75049685737993987</v>
      </c>
      <c r="K947" s="1">
        <f t="shared" si="618"/>
        <v>0.79614448561164552</v>
      </c>
    </row>
    <row r="948" spans="2:11" x14ac:dyDescent="0.35">
      <c r="B948" s="5" t="str">
        <f t="shared" ref="B948:B1011" si="619">B947</f>
        <v>SPS2</v>
      </c>
      <c r="C948" s="5" t="str">
        <f t="shared" si="611"/>
        <v>CH</v>
      </c>
      <c r="D948" t="s">
        <v>992</v>
      </c>
      <c r="E948" t="s">
        <v>8</v>
      </c>
      <c r="F948" s="1">
        <f>[1]Services!B$55</f>
        <v>0.62702142448565756</v>
      </c>
      <c r="G948" s="1">
        <f>[1]Services!C$55</f>
        <v>0.68738203090990213</v>
      </c>
      <c r="H948" s="1">
        <f>[1]Services!D$55</f>
        <v>0.56048958062033727</v>
      </c>
      <c r="I948" s="1">
        <f>[1]Services!E$55</f>
        <v>0.61454900556605341</v>
      </c>
      <c r="J948" s="1">
        <f>[1]Services!F$55</f>
        <v>0.75049685737993987</v>
      </c>
      <c r="K948" s="1">
        <f>[1]Services!G$55</f>
        <v>0.79614448561164552</v>
      </c>
    </row>
    <row r="949" spans="2:11" x14ac:dyDescent="0.35">
      <c r="B949" s="5" t="str">
        <f t="shared" si="619"/>
        <v>SPS2</v>
      </c>
      <c r="C949" s="5" t="str">
        <f t="shared" si="611"/>
        <v>CH</v>
      </c>
      <c r="D949" t="s">
        <v>993</v>
      </c>
      <c r="E949" t="s">
        <v>8</v>
      </c>
      <c r="F949" s="1">
        <f>F950</f>
        <v>0</v>
      </c>
      <c r="G949" s="1">
        <f t="shared" ref="G949:K949" si="620">G950</f>
        <v>0</v>
      </c>
      <c r="H949" s="1">
        <f t="shared" si="620"/>
        <v>0</v>
      </c>
      <c r="I949" s="1">
        <f t="shared" si="620"/>
        <v>0</v>
      </c>
      <c r="J949" s="1">
        <f t="shared" si="620"/>
        <v>0</v>
      </c>
      <c r="K949" s="1">
        <f t="shared" si="620"/>
        <v>0</v>
      </c>
    </row>
    <row r="950" spans="2:11" x14ac:dyDescent="0.35">
      <c r="B950" s="5" t="str">
        <f t="shared" si="619"/>
        <v>SPS2</v>
      </c>
      <c r="C950" s="5" t="str">
        <f t="shared" si="611"/>
        <v>CH</v>
      </c>
      <c r="D950" t="s">
        <v>994</v>
      </c>
      <c r="E950" t="s">
        <v>8</v>
      </c>
      <c r="F950" s="1">
        <f>[1]Services!B$57</f>
        <v>0</v>
      </c>
      <c r="G950" s="1">
        <f>[1]Services!C$57</f>
        <v>0</v>
      </c>
      <c r="H950" s="1">
        <f>[1]Services!D$57</f>
        <v>0</v>
      </c>
      <c r="I950" s="1">
        <f>[1]Services!E$57</f>
        <v>0</v>
      </c>
      <c r="J950" s="1">
        <f>[1]Services!F$57</f>
        <v>0</v>
      </c>
      <c r="K950" s="1">
        <f>[1]Services!G$57</f>
        <v>0</v>
      </c>
    </row>
    <row r="951" spans="2:11" x14ac:dyDescent="0.35">
      <c r="B951" s="5" t="str">
        <f t="shared" si="619"/>
        <v>SPS2</v>
      </c>
      <c r="C951" s="5" t="str">
        <f t="shared" si="611"/>
        <v>CH</v>
      </c>
      <c r="D951" t="s">
        <v>995</v>
      </c>
      <c r="E951" t="s">
        <v>8</v>
      </c>
      <c r="F951" s="1">
        <f>[1]Services!B$58</f>
        <v>0</v>
      </c>
      <c r="G951" s="1">
        <f>[1]Services!C$58</f>
        <v>9.1177587742505857</v>
      </c>
      <c r="H951" s="1">
        <f>[1]Services!D$58</f>
        <v>2.3226311208091936</v>
      </c>
      <c r="I951" s="1">
        <f>[1]Services!E$58</f>
        <v>4.7028578451096079</v>
      </c>
      <c r="J951" s="1">
        <f>[1]Services!F$58</f>
        <v>9.2063972692860148</v>
      </c>
      <c r="K951" s="1">
        <f>[1]Services!G$58</f>
        <v>13.878506080759703</v>
      </c>
    </row>
    <row r="952" spans="2:11" x14ac:dyDescent="0.35">
      <c r="B952" s="5" t="str">
        <f t="shared" si="619"/>
        <v>SPS2</v>
      </c>
      <c r="C952" s="5" t="str">
        <f>C951</f>
        <v>CH</v>
      </c>
      <c r="D952" s="2" t="s">
        <v>689</v>
      </c>
      <c r="E952" s="2" t="s">
        <v>240</v>
      </c>
      <c r="F952" s="1" t="s">
        <v>292</v>
      </c>
      <c r="G952" s="1" t="s">
        <v>292</v>
      </c>
      <c r="H952" s="1" t="s">
        <v>292</v>
      </c>
      <c r="I952" s="1" t="s">
        <v>292</v>
      </c>
      <c r="J952" s="1" t="s">
        <v>292</v>
      </c>
      <c r="K952" s="1" t="s">
        <v>292</v>
      </c>
    </row>
    <row r="953" spans="2:11" x14ac:dyDescent="0.35">
      <c r="B953" s="5" t="str">
        <f t="shared" si="619"/>
        <v>SPS2</v>
      </c>
      <c r="C953" s="5" t="str">
        <f t="shared" ref="C953:C969" si="621">C952</f>
        <v>CH</v>
      </c>
      <c r="D953" t="s">
        <v>761</v>
      </c>
      <c r="E953" t="s">
        <v>240</v>
      </c>
      <c r="F953" s="4">
        <f t="shared" ref="F953:K955" si="622">IFERROR(F926/F882,"-")</f>
        <v>0.91249999999999898</v>
      </c>
      <c r="G953" s="4">
        <f t="shared" si="622"/>
        <v>0.91500000000000037</v>
      </c>
      <c r="H953" s="4">
        <f t="shared" si="622"/>
        <v>0.47239236438407495</v>
      </c>
      <c r="I953" s="4">
        <f t="shared" si="622"/>
        <v>0.49406998347011305</v>
      </c>
      <c r="J953" s="4">
        <f t="shared" si="622"/>
        <v>0.50759247260376272</v>
      </c>
      <c r="K953" s="4">
        <f t="shared" si="622"/>
        <v>0.52963472432412206</v>
      </c>
    </row>
    <row r="954" spans="2:11" x14ac:dyDescent="0.35">
      <c r="B954" s="5" t="str">
        <f t="shared" si="619"/>
        <v>SPS2</v>
      </c>
      <c r="C954" s="5" t="str">
        <f t="shared" si="621"/>
        <v>CH</v>
      </c>
      <c r="D954" t="s">
        <v>730</v>
      </c>
      <c r="E954" t="s">
        <v>240</v>
      </c>
      <c r="F954" s="4">
        <f t="shared" si="622"/>
        <v>3.2</v>
      </c>
      <c r="G954" s="4">
        <f t="shared" si="622"/>
        <v>3.2399999999999993</v>
      </c>
      <c r="H954" s="4">
        <f t="shared" si="622"/>
        <v>2.8249076598735603</v>
      </c>
      <c r="I954" s="4">
        <f t="shared" si="622"/>
        <v>3.1521224148107083</v>
      </c>
      <c r="J954" s="4">
        <f t="shared" si="622"/>
        <v>3.5738077013325231</v>
      </c>
      <c r="K954" s="4">
        <f t="shared" si="622"/>
        <v>3.8644247274283758</v>
      </c>
    </row>
    <row r="955" spans="2:11" x14ac:dyDescent="0.35">
      <c r="B955" s="5" t="str">
        <f t="shared" si="619"/>
        <v>SPS2</v>
      </c>
      <c r="C955" s="5" t="str">
        <f t="shared" si="621"/>
        <v>CH</v>
      </c>
      <c r="D955" t="s">
        <v>699</v>
      </c>
      <c r="E955" t="s">
        <v>240</v>
      </c>
      <c r="F955" s="4">
        <f t="shared" si="622"/>
        <v>1</v>
      </c>
      <c r="G955" s="4">
        <f t="shared" si="622"/>
        <v>1</v>
      </c>
      <c r="H955" s="4">
        <f t="shared" si="622"/>
        <v>1.0000000000000002</v>
      </c>
      <c r="I955" s="4">
        <f t="shared" si="622"/>
        <v>1.0000000000000002</v>
      </c>
      <c r="J955" s="4">
        <f t="shared" si="622"/>
        <v>1</v>
      </c>
      <c r="K955" s="4">
        <f t="shared" si="622"/>
        <v>1.0000000000000002</v>
      </c>
    </row>
    <row r="956" spans="2:11" x14ac:dyDescent="0.35">
      <c r="B956" s="5" t="str">
        <f t="shared" si="619"/>
        <v>SPS2</v>
      </c>
      <c r="C956" s="5" t="str">
        <f t="shared" si="621"/>
        <v>CH</v>
      </c>
      <c r="D956" t="s">
        <v>700</v>
      </c>
      <c r="E956" t="s">
        <v>240</v>
      </c>
      <c r="F956" s="4">
        <f t="shared" ref="F956:K956" si="623">IFERROR(F930/F886,"-")</f>
        <v>0.82107843137254777</v>
      </c>
      <c r="G956" s="4">
        <f t="shared" si="623"/>
        <v>0.82270432925645509</v>
      </c>
      <c r="H956" s="4">
        <f t="shared" si="623"/>
        <v>0.7915337603852084</v>
      </c>
      <c r="I956" s="4">
        <f t="shared" si="623"/>
        <v>0.81881811706155372</v>
      </c>
      <c r="J956" s="4">
        <f t="shared" si="623"/>
        <v>0.81881811706155483</v>
      </c>
      <c r="K956" s="4">
        <f t="shared" si="623"/>
        <v>0.81881811706155383</v>
      </c>
    </row>
    <row r="957" spans="2:11" x14ac:dyDescent="0.35">
      <c r="B957" s="5" t="str">
        <f t="shared" si="619"/>
        <v>SPS2</v>
      </c>
      <c r="C957" s="5" t="str">
        <f t="shared" si="621"/>
        <v>CH</v>
      </c>
      <c r="D957" t="s">
        <v>701</v>
      </c>
      <c r="E957" t="s">
        <v>240</v>
      </c>
      <c r="F957" s="4">
        <f t="shared" ref="F957:K959" si="624">IFERROR(F932/F893,"-")</f>
        <v>0.94680851063829918</v>
      </c>
      <c r="G957" s="4">
        <f t="shared" si="624"/>
        <v>0.94680851063829885</v>
      </c>
      <c r="H957" s="4">
        <f t="shared" si="624"/>
        <v>0.80879937435440097</v>
      </c>
      <c r="I957" s="4">
        <f t="shared" si="624"/>
        <v>0.72346719973018059</v>
      </c>
      <c r="J957" s="4">
        <f t="shared" si="624"/>
        <v>0.46518677704225225</v>
      </c>
      <c r="K957" s="4">
        <f t="shared" si="624"/>
        <v>0.28468542980738354</v>
      </c>
    </row>
    <row r="958" spans="2:11" x14ac:dyDescent="0.35">
      <c r="B958" s="5" t="str">
        <f t="shared" si="619"/>
        <v>SPS2</v>
      </c>
      <c r="C958" s="5" t="str">
        <f t="shared" si="621"/>
        <v>CH</v>
      </c>
      <c r="D958" t="s">
        <v>731</v>
      </c>
      <c r="E958" t="s">
        <v>240</v>
      </c>
      <c r="F958" s="4" t="str">
        <f t="shared" si="624"/>
        <v>-</v>
      </c>
      <c r="G958" s="4" t="str">
        <f t="shared" si="624"/>
        <v>-</v>
      </c>
      <c r="H958" s="4">
        <f t="shared" si="624"/>
        <v>1.9235156530086301</v>
      </c>
      <c r="I958" s="4">
        <f t="shared" si="624"/>
        <v>2.0087435568163801</v>
      </c>
      <c r="J958" s="4">
        <f t="shared" si="624"/>
        <v>2.1106971945861526</v>
      </c>
      <c r="K958" s="4">
        <f t="shared" si="624"/>
        <v>2.2956542796359218</v>
      </c>
    </row>
    <row r="959" spans="2:11" x14ac:dyDescent="0.35">
      <c r="B959" s="5" t="str">
        <f t="shared" si="619"/>
        <v>SPS2</v>
      </c>
      <c r="C959" s="5" t="str">
        <f t="shared" si="621"/>
        <v>CH</v>
      </c>
      <c r="D959" t="s">
        <v>702</v>
      </c>
      <c r="E959" t="s">
        <v>240</v>
      </c>
      <c r="F959" s="4">
        <f t="shared" si="624"/>
        <v>0.87219999999999898</v>
      </c>
      <c r="G959" s="4">
        <f t="shared" si="624"/>
        <v>0.8721999999999992</v>
      </c>
      <c r="H959" s="4" t="str">
        <f t="shared" si="624"/>
        <v>-</v>
      </c>
      <c r="I959" s="4" t="str">
        <f t="shared" si="624"/>
        <v>-</v>
      </c>
      <c r="J959" s="4" t="str">
        <f t="shared" si="624"/>
        <v>-</v>
      </c>
      <c r="K959" s="4" t="str">
        <f t="shared" si="624"/>
        <v>-</v>
      </c>
    </row>
    <row r="960" spans="2:11" x14ac:dyDescent="0.35">
      <c r="B960" s="5" t="str">
        <f t="shared" si="619"/>
        <v>SPS2</v>
      </c>
      <c r="C960" s="5" t="str">
        <f>C959</f>
        <v>CH</v>
      </c>
      <c r="D960" t="s">
        <v>703</v>
      </c>
      <c r="E960" t="s">
        <v>240</v>
      </c>
      <c r="F960" s="4">
        <f t="shared" ref="F960:K965" si="625">IFERROR(F937/F905,"-")</f>
        <v>0.98999999999999988</v>
      </c>
      <c r="G960" s="4">
        <f t="shared" si="625"/>
        <v>0.99</v>
      </c>
      <c r="H960" s="4">
        <f t="shared" si="625"/>
        <v>0</v>
      </c>
      <c r="I960" s="4">
        <f t="shared" si="625"/>
        <v>0</v>
      </c>
      <c r="J960" s="4">
        <f t="shared" si="625"/>
        <v>0</v>
      </c>
      <c r="K960" s="4">
        <f t="shared" si="625"/>
        <v>0</v>
      </c>
    </row>
    <row r="961" spans="2:11" x14ac:dyDescent="0.35">
      <c r="B961" s="5" t="str">
        <f t="shared" si="619"/>
        <v>SPS2</v>
      </c>
      <c r="C961" s="5" t="str">
        <f t="shared" si="621"/>
        <v>CH</v>
      </c>
      <c r="D961" t="s">
        <v>704</v>
      </c>
      <c r="E961" t="s">
        <v>240</v>
      </c>
      <c r="F961" s="4">
        <f t="shared" si="625"/>
        <v>0.99</v>
      </c>
      <c r="G961" s="4">
        <f t="shared" si="625"/>
        <v>0.99</v>
      </c>
      <c r="H961" s="4">
        <f t="shared" si="625"/>
        <v>0</v>
      </c>
      <c r="I961" s="4">
        <f t="shared" si="625"/>
        <v>0</v>
      </c>
      <c r="J961" s="4">
        <f t="shared" si="625"/>
        <v>0</v>
      </c>
      <c r="K961" s="4" t="str">
        <f t="shared" si="625"/>
        <v>-</v>
      </c>
    </row>
    <row r="962" spans="2:11" x14ac:dyDescent="0.35">
      <c r="B962" s="5" t="str">
        <f t="shared" si="619"/>
        <v>SPS2</v>
      </c>
      <c r="C962" s="5" t="str">
        <f t="shared" si="621"/>
        <v>CH</v>
      </c>
      <c r="D962" t="s">
        <v>705</v>
      </c>
      <c r="E962" t="s">
        <v>240</v>
      </c>
      <c r="F962" s="4" t="str">
        <f t="shared" si="625"/>
        <v>-</v>
      </c>
      <c r="G962" s="4" t="str">
        <f t="shared" si="625"/>
        <v>-</v>
      </c>
      <c r="H962" s="4" t="str">
        <f t="shared" si="625"/>
        <v>-</v>
      </c>
      <c r="I962" s="4" t="str">
        <f t="shared" si="625"/>
        <v>-</v>
      </c>
      <c r="J962" s="4" t="str">
        <f t="shared" si="625"/>
        <v>-</v>
      </c>
      <c r="K962" s="4" t="str">
        <f t="shared" si="625"/>
        <v>-</v>
      </c>
    </row>
    <row r="963" spans="2:11" x14ac:dyDescent="0.35">
      <c r="B963" s="5" t="str">
        <f t="shared" si="619"/>
        <v>SPS2</v>
      </c>
      <c r="C963" s="5" t="str">
        <f t="shared" si="621"/>
        <v>CH</v>
      </c>
      <c r="D963" t="s">
        <v>706</v>
      </c>
      <c r="E963" t="s">
        <v>240</v>
      </c>
      <c r="F963" s="4" t="str">
        <f t="shared" si="625"/>
        <v>-</v>
      </c>
      <c r="G963" s="4" t="str">
        <f t="shared" si="625"/>
        <v>-</v>
      </c>
      <c r="H963" s="4" t="str">
        <f t="shared" si="625"/>
        <v>-</v>
      </c>
      <c r="I963" s="4">
        <f t="shared" si="625"/>
        <v>0</v>
      </c>
      <c r="J963" s="4">
        <f t="shared" si="625"/>
        <v>0</v>
      </c>
      <c r="K963" s="4">
        <f t="shared" si="625"/>
        <v>0</v>
      </c>
    </row>
    <row r="964" spans="2:11" x14ac:dyDescent="0.35">
      <c r="B964" s="5" t="str">
        <f t="shared" si="619"/>
        <v>SPS2</v>
      </c>
      <c r="C964" s="5" t="str">
        <f t="shared" si="621"/>
        <v>CH</v>
      </c>
      <c r="D964" t="s">
        <v>707</v>
      </c>
      <c r="E964" t="s">
        <v>240</v>
      </c>
      <c r="F964" s="4" t="str">
        <f t="shared" si="625"/>
        <v>-</v>
      </c>
      <c r="G964" s="4" t="str">
        <f t="shared" si="625"/>
        <v>-</v>
      </c>
      <c r="H964" s="4" t="str">
        <f t="shared" si="625"/>
        <v>-</v>
      </c>
      <c r="I964" s="4">
        <f t="shared" si="625"/>
        <v>0</v>
      </c>
      <c r="J964" s="4">
        <f t="shared" si="625"/>
        <v>0</v>
      </c>
      <c r="K964" s="4">
        <f t="shared" si="625"/>
        <v>0</v>
      </c>
    </row>
    <row r="965" spans="2:11" x14ac:dyDescent="0.35">
      <c r="B965" s="5" t="str">
        <f t="shared" si="619"/>
        <v>SPS2</v>
      </c>
      <c r="C965" s="5" t="str">
        <f t="shared" si="621"/>
        <v>CH</v>
      </c>
      <c r="D965" t="s">
        <v>996</v>
      </c>
      <c r="E965" t="s">
        <v>240</v>
      </c>
      <c r="F965" s="4">
        <f t="shared" si="625"/>
        <v>0.98999999999999955</v>
      </c>
      <c r="G965" s="4">
        <f t="shared" si="625"/>
        <v>0.99000000000000077</v>
      </c>
      <c r="H965" s="4">
        <f t="shared" si="625"/>
        <v>0.82125167674383137</v>
      </c>
      <c r="I965" s="4">
        <f t="shared" si="625"/>
        <v>0.82479024199518614</v>
      </c>
      <c r="J965" s="4">
        <f t="shared" si="625"/>
        <v>0.8247902419951858</v>
      </c>
      <c r="K965" s="4">
        <f t="shared" si="625"/>
        <v>0.82479024199518514</v>
      </c>
    </row>
    <row r="966" spans="2:11" x14ac:dyDescent="0.35">
      <c r="B966" s="5" t="str">
        <f t="shared" si="619"/>
        <v>SPS2</v>
      </c>
      <c r="C966" s="5" t="str">
        <f t="shared" si="621"/>
        <v>CH</v>
      </c>
      <c r="D966" t="s">
        <v>997</v>
      </c>
      <c r="E966" t="s">
        <v>240</v>
      </c>
      <c r="F966" s="4">
        <f t="shared" ref="F966:K966" si="626">IFERROR(F944/F911,"-")</f>
        <v>0.71999999999999953</v>
      </c>
      <c r="G966" s="4">
        <f t="shared" si="626"/>
        <v>0.71999999999999931</v>
      </c>
      <c r="H966" s="4">
        <f t="shared" si="626"/>
        <v>0.6752601861821097</v>
      </c>
      <c r="I966" s="4">
        <f t="shared" si="626"/>
        <v>0.67824455841152831</v>
      </c>
      <c r="J966" s="4">
        <f t="shared" si="626"/>
        <v>0.68095304552895075</v>
      </c>
      <c r="K966" s="4">
        <f t="shared" si="626"/>
        <v>0.70299836916437786</v>
      </c>
    </row>
    <row r="967" spans="2:11" x14ac:dyDescent="0.35">
      <c r="B967" s="5" t="str">
        <f t="shared" si="619"/>
        <v>SPS2</v>
      </c>
      <c r="C967" s="5" t="str">
        <f t="shared" si="621"/>
        <v>CH</v>
      </c>
      <c r="D967" t="s">
        <v>998</v>
      </c>
      <c r="E967" t="s">
        <v>240</v>
      </c>
      <c r="F967" s="4">
        <f t="shared" ref="F967:K967" si="627">IFERROR(F946/F914,"-")</f>
        <v>0.90000000000000058</v>
      </c>
      <c r="G967" s="4">
        <f t="shared" si="627"/>
        <v>0.90000000000000013</v>
      </c>
      <c r="H967" s="4">
        <f t="shared" si="627"/>
        <v>0.65886358677633972</v>
      </c>
      <c r="I967" s="4">
        <f t="shared" si="627"/>
        <v>0.66254574582379211</v>
      </c>
      <c r="J967" s="4">
        <f t="shared" si="627"/>
        <v>0.67950982092793122</v>
      </c>
      <c r="K967" s="4">
        <f t="shared" si="627"/>
        <v>0.68246025363056273</v>
      </c>
    </row>
    <row r="968" spans="2:11" x14ac:dyDescent="0.35">
      <c r="B968" s="5" t="str">
        <f t="shared" si="619"/>
        <v>SPS2</v>
      </c>
      <c r="C968" s="5" t="str">
        <f t="shared" si="621"/>
        <v>CH</v>
      </c>
      <c r="D968" t="s">
        <v>999</v>
      </c>
      <c r="E968" t="s">
        <v>240</v>
      </c>
      <c r="F968" s="4">
        <f t="shared" ref="F968:K968" si="628">IFERROR(F948/F916,"-")</f>
        <v>1</v>
      </c>
      <c r="G968" s="4">
        <f t="shared" si="628"/>
        <v>1</v>
      </c>
      <c r="H968" s="4">
        <f t="shared" si="628"/>
        <v>1</v>
      </c>
      <c r="I968" s="4">
        <f t="shared" si="628"/>
        <v>1</v>
      </c>
      <c r="J968" s="4">
        <f t="shared" si="628"/>
        <v>1</v>
      </c>
      <c r="K968" s="4">
        <f t="shared" si="628"/>
        <v>1</v>
      </c>
    </row>
    <row r="969" spans="2:11" x14ac:dyDescent="0.35">
      <c r="B969" s="5" t="str">
        <f t="shared" si="619"/>
        <v>SPS2</v>
      </c>
      <c r="C969" s="5" t="str">
        <f t="shared" si="621"/>
        <v>CH</v>
      </c>
      <c r="D969" t="s">
        <v>1000</v>
      </c>
      <c r="E969" t="s">
        <v>240</v>
      </c>
      <c r="F969" s="4" t="str">
        <f t="shared" ref="F969:K969" si="629">IFERROR(F950/F920,"-")</f>
        <v>-</v>
      </c>
      <c r="G969" s="4" t="str">
        <f t="shared" si="629"/>
        <v>-</v>
      </c>
      <c r="H969" s="4" t="str">
        <f t="shared" si="629"/>
        <v>-</v>
      </c>
      <c r="I969" s="4">
        <f t="shared" si="629"/>
        <v>0</v>
      </c>
      <c r="J969" s="4">
        <f t="shared" si="629"/>
        <v>0</v>
      </c>
      <c r="K969" s="4">
        <f t="shared" si="629"/>
        <v>0</v>
      </c>
    </row>
    <row r="970" spans="2:11" x14ac:dyDescent="0.35">
      <c r="B970" s="9" t="str">
        <f t="shared" si="619"/>
        <v>SPS2</v>
      </c>
      <c r="C970" s="9" t="str">
        <f>C922</f>
        <v>CH</v>
      </c>
      <c r="D970" s="2" t="s">
        <v>740</v>
      </c>
      <c r="E970" s="9" t="s">
        <v>8</v>
      </c>
      <c r="F970" s="3">
        <f>[1]Residential!B$26</f>
        <v>219.86600807811632</v>
      </c>
      <c r="G970" s="3">
        <f>[1]Residential!C$26</f>
        <v>219.55138304349126</v>
      </c>
      <c r="H970" s="3">
        <f>[1]Residential!D$26</f>
        <v>219.77457015999119</v>
      </c>
      <c r="I970" s="3">
        <f>[1]Residential!E$26</f>
        <v>200.5378190744637</v>
      </c>
      <c r="J970" s="3">
        <f>[1]Residential!F$26</f>
        <v>182.10310023672594</v>
      </c>
      <c r="K970" s="3">
        <f>[1]Residential!G$26</f>
        <v>164.52147679284653</v>
      </c>
    </row>
    <row r="971" spans="2:11" x14ac:dyDescent="0.35">
      <c r="B971" s="5" t="str">
        <f t="shared" si="619"/>
        <v>SPS2</v>
      </c>
      <c r="C971" s="5" t="str">
        <f>C970</f>
        <v>CH</v>
      </c>
      <c r="D971" t="s">
        <v>1001</v>
      </c>
      <c r="E971" t="s">
        <v>8</v>
      </c>
      <c r="F971" s="1">
        <f>[1]Residential!B$15</f>
        <v>69.470325442269058</v>
      </c>
      <c r="G971" s="1">
        <f>[1]Residential!C$15</f>
        <v>70.026949982111944</v>
      </c>
      <c r="H971" s="1">
        <f>[1]Residential!D$15</f>
        <v>69.79674622408892</v>
      </c>
      <c r="I971" s="1">
        <f>[1]Residential!E$15</f>
        <v>67.617290270833863</v>
      </c>
      <c r="J971" s="1">
        <f>[1]Residential!F$15</f>
        <v>67.514908381164588</v>
      </c>
      <c r="K971" s="1">
        <f>[1]Residential!G$15</f>
        <v>62.393339784830282</v>
      </c>
    </row>
    <row r="972" spans="2:11" x14ac:dyDescent="0.35">
      <c r="B972" s="5" t="str">
        <f t="shared" si="619"/>
        <v>SPS2</v>
      </c>
      <c r="C972" s="5" t="str">
        <f>C971</f>
        <v>CH</v>
      </c>
      <c r="D972" t="s">
        <v>1002</v>
      </c>
      <c r="E972" t="s">
        <v>8</v>
      </c>
      <c r="F972" s="1">
        <f>SUM(F973:F974)</f>
        <v>15.333388890502011</v>
      </c>
      <c r="G972" s="1">
        <f t="shared" ref="G972:K972" si="630">SUM(G973:G974)</f>
        <v>15.080416499668781</v>
      </c>
      <c r="H972" s="1">
        <f t="shared" si="630"/>
        <v>11.601809660865333</v>
      </c>
      <c r="I972" s="1">
        <f t="shared" si="630"/>
        <v>13.018670456680013</v>
      </c>
      <c r="J972" s="1">
        <f t="shared" si="630"/>
        <v>14.642486373268747</v>
      </c>
      <c r="K972" s="1">
        <f t="shared" si="630"/>
        <v>13.155587328968307</v>
      </c>
    </row>
    <row r="973" spans="2:11" x14ac:dyDescent="0.35">
      <c r="B973" s="5" t="str">
        <f t="shared" si="619"/>
        <v>SPS2</v>
      </c>
      <c r="C973" s="5" t="str">
        <f t="shared" ref="C973" si="631">C972</f>
        <v>CH</v>
      </c>
      <c r="D973" t="s">
        <v>762</v>
      </c>
      <c r="E973" t="s">
        <v>8</v>
      </c>
      <c r="F973" s="1" cm="1">
        <f t="array" ref="F973">SUMPRODUCT(([1]OUT_FinalEnergyCons!$B$4:$B$10000="Var_Fin")*1,ISNUMBER(SEARCH("R*_ELC",[1]OUT_FinalEnergyCons!$C$4:$C$10000))*1, (ISNUMBER(SEARCH("RH*-SHELCBR",[1]OUT_FinalEnergyCons!$A$4:$A$10000)))*1,[1]OUT_FinalEnergyCons!D$4:D$10000)</f>
        <v>9.3769880453176686</v>
      </c>
      <c r="G973" s="1" cm="1">
        <f t="array" ref="G973">SUMPRODUCT(([1]OUT_FinalEnergyCons!$B$4:$B$10000="Var_Fin")*1,ISNUMBER(SEARCH("R*_ELC",[1]OUT_FinalEnergyCons!$C$4:$C$10000))*1, (ISNUMBER(SEARCH("RH*-SHELCBR",[1]OUT_FinalEnergyCons!$A$4:$A$10000)))*1,[1]OUT_FinalEnergyCons!E$4:E$10000)</f>
        <v>8.2956123519559881</v>
      </c>
      <c r="H973" s="1" cm="1">
        <f t="array" ref="H973">SUMPRODUCT(([1]OUT_FinalEnergyCons!$B$4:$B$10000="Var_Fin")*1,ISNUMBER(SEARCH("R*_ELC",[1]OUT_FinalEnergyCons!$C$4:$C$10000))*1, (ISNUMBER(SEARCH("RH*-SHELCBR",[1]OUT_FinalEnergyCons!$A$4:$A$10000)))*1,[1]OUT_FinalEnergyCons!F$4:F$10000)</f>
        <v>0.90207182074490189</v>
      </c>
      <c r="I973" s="1" cm="1">
        <f t="array" ref="I973">SUMPRODUCT(([1]OUT_FinalEnergyCons!$B$4:$B$10000="Var_Fin")*1,ISNUMBER(SEARCH("R*_ELC",[1]OUT_FinalEnergyCons!$C$4:$C$10000))*1, (ISNUMBER(SEARCH("RH*-SHELCBR",[1]OUT_FinalEnergyCons!$A$4:$A$10000)))*1,[1]OUT_FinalEnergyCons!G$4:G$10000)</f>
        <v>0.22656801336188531</v>
      </c>
      <c r="J973" s="1" cm="1">
        <f t="array" ref="J973">SUMPRODUCT(([1]OUT_FinalEnergyCons!$B$4:$B$10000="Var_Fin")*1,ISNUMBER(SEARCH("R*_ELC",[1]OUT_FinalEnergyCons!$C$4:$C$10000))*1, (ISNUMBER(SEARCH("RH*-SHELCBR",[1]OUT_FinalEnergyCons!$A$4:$A$10000)))*1,[1]OUT_FinalEnergyCons!H$4:H$10000)</f>
        <v>1.8240245472000712E-2</v>
      </c>
      <c r="K973" s="1" cm="1">
        <f t="array" ref="K973">SUMPRODUCT(([1]OUT_FinalEnergyCons!$B$4:$B$10000="Var_Fin")*1,ISNUMBER(SEARCH("R*_ELC",[1]OUT_FinalEnergyCons!$C$4:$C$10000))*1, (ISNUMBER(SEARCH("RH*-SHELCBR",[1]OUT_FinalEnergyCons!$A$4:$A$10000)))*1,[1]OUT_FinalEnergyCons!I$4:I$10000)</f>
        <v>1.6019745832597909E-2</v>
      </c>
    </row>
    <row r="974" spans="2:11" x14ac:dyDescent="0.35">
      <c r="B974" s="5" t="str">
        <f t="shared" si="619"/>
        <v>SPS2</v>
      </c>
      <c r="C974" s="5" t="str">
        <f t="shared" ref="C974:C978" si="632">C973</f>
        <v>CH</v>
      </c>
      <c r="D974" t="s">
        <v>732</v>
      </c>
      <c r="E974" t="s">
        <v>8</v>
      </c>
      <c r="F974" s="1" cm="1">
        <f t="array" ref="F974">SUMPRODUCT(([1]OUT_FinalEnergyCons!$B$4:$B$10000="Var_Fin")*1,ISNUMBER(SEARCH("R*_ELC",[1]OUT_FinalEnergyCons!$C$4:$C$10000))*1, (ISNUMBER(SEARCH("RH*-SHELCHP",[1]OUT_FinalEnergyCons!$A$4:$A$10000)))*1,[1]OUT_FinalEnergyCons!D$4:D$10000)</f>
        <v>5.9564008451843424</v>
      </c>
      <c r="G974" s="1" cm="1">
        <f t="array" ref="G974">SUMPRODUCT(([1]OUT_FinalEnergyCons!$B$4:$B$10000="Var_Fin")*1,ISNUMBER(SEARCH("R*_ELC",[1]OUT_FinalEnergyCons!$C$4:$C$10000))*1, (ISNUMBER(SEARCH("RH*-SHELCHP",[1]OUT_FinalEnergyCons!$A$4:$A$10000)))*1,[1]OUT_FinalEnergyCons!E$4:E$10000)</f>
        <v>6.7848041477127925</v>
      </c>
      <c r="H974" s="1" cm="1">
        <f t="array" ref="H974">SUMPRODUCT(([1]OUT_FinalEnergyCons!$B$4:$B$10000="Var_Fin")*1,ISNUMBER(SEARCH("R*_ELC",[1]OUT_FinalEnergyCons!$C$4:$C$10000))*1, (ISNUMBER(SEARCH("RH*-SHELCHP",[1]OUT_FinalEnergyCons!$A$4:$A$10000)))*1,[1]OUT_FinalEnergyCons!F$4:F$10000)</f>
        <v>10.699737840120431</v>
      </c>
      <c r="I974" s="1" cm="1">
        <f t="array" ref="I974">SUMPRODUCT(([1]OUT_FinalEnergyCons!$B$4:$B$10000="Var_Fin")*1,ISNUMBER(SEARCH("R*_ELC",[1]OUT_FinalEnergyCons!$C$4:$C$10000))*1, (ISNUMBER(SEARCH("RH*-SHELCHP",[1]OUT_FinalEnergyCons!$A$4:$A$10000)))*1,[1]OUT_FinalEnergyCons!G$4:G$10000)</f>
        <v>12.792102443318127</v>
      </c>
      <c r="J974" s="1" cm="1">
        <f t="array" ref="J974">SUMPRODUCT(([1]OUT_FinalEnergyCons!$B$4:$B$10000="Var_Fin")*1,ISNUMBER(SEARCH("R*_ELC",[1]OUT_FinalEnergyCons!$C$4:$C$10000))*1, (ISNUMBER(SEARCH("RH*-SHELCHP",[1]OUT_FinalEnergyCons!$A$4:$A$10000)))*1,[1]OUT_FinalEnergyCons!H$4:H$10000)</f>
        <v>14.624246127796747</v>
      </c>
      <c r="K974" s="1" cm="1">
        <f t="array" ref="K974">SUMPRODUCT(([1]OUT_FinalEnergyCons!$B$4:$B$10000="Var_Fin")*1,ISNUMBER(SEARCH("R*_ELC",[1]OUT_FinalEnergyCons!$C$4:$C$10000))*1, (ISNUMBER(SEARCH("RH*-SHELCHP",[1]OUT_FinalEnergyCons!$A$4:$A$10000)))*1,[1]OUT_FinalEnergyCons!I$4:I$10000)</f>
        <v>13.13956758313571</v>
      </c>
    </row>
    <row r="975" spans="2:11" x14ac:dyDescent="0.35">
      <c r="B975" s="5" t="str">
        <f t="shared" si="619"/>
        <v>SPS2</v>
      </c>
      <c r="C975" s="5" t="str">
        <f t="shared" si="632"/>
        <v>CH</v>
      </c>
      <c r="D975" t="s">
        <v>1003</v>
      </c>
      <c r="E975" t="s">
        <v>8</v>
      </c>
      <c r="F975" s="1">
        <f>SUM(F976:F977)</f>
        <v>9.5600251979428723</v>
      </c>
      <c r="G975" s="1">
        <f t="shared" ref="G975:K975" si="633">SUM(G976:G977)</f>
        <v>10.085342713463886</v>
      </c>
      <c r="H975" s="1">
        <f t="shared" si="633"/>
        <v>8.6715161170073429</v>
      </c>
      <c r="I975" s="1">
        <f t="shared" si="633"/>
        <v>7.6785518225577771</v>
      </c>
      <c r="J975" s="1">
        <f t="shared" si="633"/>
        <v>8.4774019983985145</v>
      </c>
      <c r="K975" s="1">
        <f t="shared" si="633"/>
        <v>8.4418533097709165</v>
      </c>
    </row>
    <row r="976" spans="2:11" x14ac:dyDescent="0.35">
      <c r="B976" s="5" t="str">
        <f t="shared" si="619"/>
        <v>SPS2</v>
      </c>
      <c r="C976" s="5" t="str">
        <f t="shared" si="632"/>
        <v>CH</v>
      </c>
      <c r="D976" t="s">
        <v>763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(ISNUMBER(SEARCH("RH*-wHELCBR",[1]OUT_FinalEnergyCons!$A$4:$A$10000)))*1,[1]OUT_FinalEnergyCons!D$4:D$10000)</f>
        <v>8.4110996737515524</v>
      </c>
      <c r="G976" s="1" cm="1">
        <f t="array" ref="G976">SUMPRODUCT(([1]OUT_FinalEnergyCons!$B$4:$B$10000="Var_Fin")*1,ISNUMBER(SEARCH("R*_ELC",[1]OUT_FinalEnergyCons!$C$4:$C$10000))*1, (ISNUMBER(SEARCH("RH*-wHELCBR",[1]OUT_FinalEnergyCons!$A$4:$A$10000)))*1,[1]OUT_FinalEnergyCons!E$4:E$10000)</f>
        <v>8.7988912293336554</v>
      </c>
      <c r="H976" s="1" cm="1">
        <f t="array" ref="H976">SUMPRODUCT(([1]OUT_FinalEnergyCons!$B$4:$B$10000="Var_Fin")*1,ISNUMBER(SEARCH("R*_ELC",[1]OUT_FinalEnergyCons!$C$4:$C$10000))*1, (ISNUMBER(SEARCH("RH*-wHELCBR",[1]OUT_FinalEnergyCons!$A$4:$A$10000)))*1,[1]OUT_FinalEnergyCons!F$4:F$10000)</f>
        <v>6.0587236190502249</v>
      </c>
      <c r="I976" s="1" cm="1">
        <f t="array" ref="I976">SUMPRODUCT(([1]OUT_FinalEnergyCons!$B$4:$B$10000="Var_Fin")*1,ISNUMBER(SEARCH("R*_ELC",[1]OUT_FinalEnergyCons!$C$4:$C$10000))*1, (ISNUMBER(SEARCH("RH*-wHELCBR",[1]OUT_FinalEnergyCons!$A$4:$A$10000)))*1,[1]OUT_FinalEnergyCons!G$4:G$10000)</f>
        <v>4.149198432854428</v>
      </c>
      <c r="J976" s="1" cm="1">
        <f t="array" ref="J976">SUMPRODUCT(([1]OUT_FinalEnergyCons!$B$4:$B$10000="Var_Fin")*1,ISNUMBER(SEARCH("R*_ELC",[1]OUT_FinalEnergyCons!$C$4:$C$10000))*1, (ISNUMBER(SEARCH("RH*-wHELCBR",[1]OUT_FinalEnergyCons!$A$4:$A$10000)))*1,[1]OUT_FinalEnergyCons!H$4:H$10000)</f>
        <v>3.4215043629200221</v>
      </c>
      <c r="K976" s="1" cm="1">
        <f t="array" ref="K976">SUMPRODUCT(([1]OUT_FinalEnergyCons!$B$4:$B$10000="Var_Fin")*1,ISNUMBER(SEARCH("R*_ELC",[1]OUT_FinalEnergyCons!$C$4:$C$10000))*1, (ISNUMBER(SEARCH("RH*-wHELCBR",[1]OUT_FinalEnergyCons!$A$4:$A$10000)))*1,[1]OUT_FinalEnergyCons!I$4:I$10000)</f>
        <v>2.9943707445104311</v>
      </c>
    </row>
    <row r="977" spans="2:11" x14ac:dyDescent="0.35">
      <c r="B977" s="5" t="str">
        <f t="shared" si="619"/>
        <v>SPS2</v>
      </c>
      <c r="C977" s="5" t="str">
        <f t="shared" si="632"/>
        <v>CH</v>
      </c>
      <c r="D977" t="s">
        <v>733</v>
      </c>
      <c r="E977" t="s">
        <v>8</v>
      </c>
      <c r="F977" s="1" cm="1">
        <f t="array" ref="F977">SUMPRODUCT(([1]OUT_FinalEnergyCons!$B$4:$B$10000="Var_Fin")*1,ISNUMBER(SEARCH("R*_ELC",[1]OUT_FinalEnergyCons!$C$4:$C$10000))*1, (ISNUMBER(SEARCH("RH*-wHELCHP",[1]OUT_FinalEnergyCons!$A$4:$A$10000)))*1,[1]OUT_FinalEnergyCons!D$4:D$10000)</f>
        <v>1.1489255241913201</v>
      </c>
      <c r="G977" s="1" cm="1">
        <f t="array" ref="G977">SUMPRODUCT(([1]OUT_FinalEnergyCons!$B$4:$B$10000="Var_Fin")*1,ISNUMBER(SEARCH("R*_ELC",[1]OUT_FinalEnergyCons!$C$4:$C$10000))*1, (ISNUMBER(SEARCH("RH*-wHELCHP",[1]OUT_FinalEnergyCons!$A$4:$A$10000)))*1,[1]OUT_FinalEnergyCons!E$4:E$10000)</f>
        <v>1.2864514841302308</v>
      </c>
      <c r="H977" s="1" cm="1">
        <f t="array" ref="H977">SUMPRODUCT(([1]OUT_FinalEnergyCons!$B$4:$B$10000="Var_Fin")*1,ISNUMBER(SEARCH("R*_ELC",[1]OUT_FinalEnergyCons!$C$4:$C$10000))*1, (ISNUMBER(SEARCH("RH*-wHELCHP",[1]OUT_FinalEnergyCons!$A$4:$A$10000)))*1,[1]OUT_FinalEnergyCons!F$4:F$10000)</f>
        <v>2.6127924979571184</v>
      </c>
      <c r="I977" s="1" cm="1">
        <f t="array" ref="I977">SUMPRODUCT(([1]OUT_FinalEnergyCons!$B$4:$B$10000="Var_Fin")*1,ISNUMBER(SEARCH("R*_ELC",[1]OUT_FinalEnergyCons!$C$4:$C$10000))*1, (ISNUMBER(SEARCH("RH*-wHELCHP",[1]OUT_FinalEnergyCons!$A$4:$A$10000)))*1,[1]OUT_FinalEnergyCons!G$4:G$10000)</f>
        <v>3.5293533897033491</v>
      </c>
      <c r="J977" s="1" cm="1">
        <f t="array" ref="J977">SUMPRODUCT(([1]OUT_FinalEnergyCons!$B$4:$B$10000="Var_Fin")*1,ISNUMBER(SEARCH("R*_ELC",[1]OUT_FinalEnergyCons!$C$4:$C$10000))*1, (ISNUMBER(SEARCH("RH*-wHELCHP",[1]OUT_FinalEnergyCons!$A$4:$A$10000)))*1,[1]OUT_FinalEnergyCons!H$4:H$10000)</f>
        <v>5.0558976354784919</v>
      </c>
      <c r="K977" s="1" cm="1">
        <f t="array" ref="K977">SUMPRODUCT(([1]OUT_FinalEnergyCons!$B$4:$B$10000="Var_Fin")*1,ISNUMBER(SEARCH("R*_ELC",[1]OUT_FinalEnergyCons!$C$4:$C$10000))*1, (ISNUMBER(SEARCH("RH*-wHELCHP",[1]OUT_FinalEnergyCons!$A$4:$A$10000)))*1,[1]OUT_FinalEnergyCons!I$4:I$10000)</f>
        <v>5.4474825652604864</v>
      </c>
    </row>
    <row r="978" spans="2:11" x14ac:dyDescent="0.35">
      <c r="B978" s="5" t="str">
        <f t="shared" si="619"/>
        <v>SPS2</v>
      </c>
      <c r="C978" s="5" t="str">
        <f t="shared" si="632"/>
        <v>CH</v>
      </c>
      <c r="D978" t="s">
        <v>1004</v>
      </c>
      <c r="E978" t="s">
        <v>8</v>
      </c>
      <c r="F978" s="1">
        <f>[1]Residential!B$3-([1]Residential!B$10-[1]Residential!B$244)</f>
        <v>44.57691135382418</v>
      </c>
      <c r="G978" s="1">
        <f>[1]Residential!C$3-([1]Residential!C$10-[1]Residential!C$244)</f>
        <v>44.86119076897927</v>
      </c>
      <c r="H978" s="1">
        <f>[1]Residential!D$3-([1]Residential!D$10-[1]Residential!D$244)</f>
        <v>49.523420446216242</v>
      </c>
      <c r="I978" s="1">
        <f>[1]Residential!E$3-([1]Residential!E$10-[1]Residential!E$244)</f>
        <v>46.920067991596071</v>
      </c>
      <c r="J978" s="1">
        <f>[1]Residential!F$3-([1]Residential!F$10-[1]Residential!F$244)</f>
        <v>44.39502000949733</v>
      </c>
      <c r="K978" s="1">
        <f>[1]Residential!G$3-([1]Residential!G$10-[1]Residential!G$244)</f>
        <v>40.79589914609106</v>
      </c>
    </row>
    <row r="979" spans="2:11" x14ac:dyDescent="0.35">
      <c r="B979" s="5" t="str">
        <f t="shared" si="619"/>
        <v>SPS2</v>
      </c>
      <c r="C979" s="5" t="str">
        <f>C978</f>
        <v>CH</v>
      </c>
      <c r="D979" t="s">
        <v>676</v>
      </c>
      <c r="E979" t="s">
        <v>8</v>
      </c>
      <c r="F979" s="1">
        <f>SUM([1]Residential!B$16:B$17)</f>
        <v>60.231959065270885</v>
      </c>
      <c r="G979" s="1">
        <f>SUM([1]Residential!C$16:C$17)</f>
        <v>51.320137814571922</v>
      </c>
      <c r="H979" s="1">
        <f>SUM([1]Residential!D$16:D$17)</f>
        <v>48.321626098674884</v>
      </c>
      <c r="I979" s="1">
        <f>SUM([1]Residential!E$16:E$17)</f>
        <v>23.534973457891375</v>
      </c>
      <c r="J979" s="1">
        <f>SUM([1]Residential!F$16:F$17)</f>
        <v>5.6653640370197991</v>
      </c>
      <c r="K979" s="1">
        <f>SUM([1]Residential!G$16:G$17)</f>
        <v>0.48485964952008959</v>
      </c>
    </row>
    <row r="980" spans="2:11" x14ac:dyDescent="0.35">
      <c r="B980" s="5" t="str">
        <f t="shared" si="619"/>
        <v>SPS2</v>
      </c>
      <c r="C980" s="5" t="str">
        <f t="shared" ref="C980:C991" si="634">C979</f>
        <v>CH</v>
      </c>
      <c r="D980" t="s">
        <v>1005</v>
      </c>
      <c r="E980" t="s">
        <v>8</v>
      </c>
      <c r="F980" s="1">
        <f>[1]Residential!B$16</f>
        <v>60.231959065270885</v>
      </c>
      <c r="G980" s="1">
        <f>[1]Residential!C$16</f>
        <v>51.320137814571922</v>
      </c>
      <c r="H980" s="1">
        <f>[1]Residential!D$16</f>
        <v>48.321396912318065</v>
      </c>
      <c r="I980" s="1">
        <f>[1]Residential!E$16</f>
        <v>23.533576541326074</v>
      </c>
      <c r="J980" s="1">
        <f>[1]Residential!F$16</f>
        <v>5.6629630733661704</v>
      </c>
      <c r="K980" s="1">
        <f>[1]Residential!G$16</f>
        <v>2.0301765682976753E-5</v>
      </c>
    </row>
    <row r="981" spans="2:11" x14ac:dyDescent="0.35">
      <c r="B981" s="5" t="str">
        <f t="shared" si="619"/>
        <v>SPS2</v>
      </c>
      <c r="C981" s="5" t="str">
        <f t="shared" si="634"/>
        <v>CH</v>
      </c>
      <c r="D981" t="s">
        <v>1006</v>
      </c>
      <c r="E981" t="s">
        <v>8</v>
      </c>
      <c r="F981" s="1">
        <f>[1]Residential!B$17</f>
        <v>0</v>
      </c>
      <c r="G981" s="1">
        <f>[1]Residential!C$17</f>
        <v>0</v>
      </c>
      <c r="H981" s="1">
        <f>[1]Residential!D$17</f>
        <v>2.2918635681841556E-4</v>
      </c>
      <c r="I981" s="1">
        <f>[1]Residential!E$17</f>
        <v>1.3969165653002797E-3</v>
      </c>
      <c r="J981" s="1">
        <f>[1]Residential!F$17</f>
        <v>2.4009636536288796E-3</v>
      </c>
      <c r="K981" s="1">
        <f>[1]Residential!G$17</f>
        <v>0.48483934775440662</v>
      </c>
    </row>
    <row r="982" spans="2:11" x14ac:dyDescent="0.35">
      <c r="B982" s="5" t="str">
        <f t="shared" si="619"/>
        <v>SPS2</v>
      </c>
      <c r="C982" s="5" t="str">
        <f t="shared" si="634"/>
        <v>CH</v>
      </c>
      <c r="D982" t="s">
        <v>1007</v>
      </c>
      <c r="E982" t="s">
        <v>8</v>
      </c>
      <c r="F982" s="1">
        <f>SUM(F984,F986)</f>
        <v>50.371512119426157</v>
      </c>
      <c r="G982" s="1">
        <f t="shared" ref="G982:K982" si="635">SUM(G984,G986)</f>
        <v>43.194589173230227</v>
      </c>
      <c r="H982" s="1">
        <f t="shared" si="635"/>
        <v>39.506146257322257</v>
      </c>
      <c r="I982" s="1">
        <f t="shared" si="635"/>
        <v>19.669592372464944</v>
      </c>
      <c r="J982" s="1">
        <f t="shared" si="635"/>
        <v>4.3636882188697346</v>
      </c>
      <c r="K982" s="1">
        <f t="shared" si="635"/>
        <v>0.36333487155313049</v>
      </c>
    </row>
    <row r="983" spans="2:11" x14ac:dyDescent="0.35">
      <c r="B983" s="5" t="str">
        <f t="shared" si="619"/>
        <v>SPS2</v>
      </c>
      <c r="C983" s="5" t="str">
        <f t="shared" si="634"/>
        <v>CH</v>
      </c>
      <c r="D983" t="s">
        <v>708</v>
      </c>
      <c r="E983" t="s">
        <v>8</v>
      </c>
      <c r="F983" s="1" cm="1">
        <f t="array" ref="F983">SUMPRODUCT(([1]OUT_FinalEnergyCons!$B$4:$B$10000="Var_Fin")*1, ([1]OUT_FinalEnergyCons!$C$4:$C$10000="RLFO")*1,(ISNUMBER(SEARCH("RH*-SHLFOBR",[1]OUT_FinalEnergyCons!$A$4:$A$10000)))*1,[1]OUT_FinalEnergyCons!D$4:D$10000)</f>
        <v>50.371512119426157</v>
      </c>
      <c r="G983" s="1" cm="1">
        <f t="array" ref="G983">SUMPRODUCT(([1]OUT_FinalEnergyCons!$B$4:$B$10000="Var_Fin")*1, ([1]OUT_FinalEnergyCons!$C$4:$C$10000="RLFO")*1,(ISNUMBER(SEARCH("RH*-SHLFOBR",[1]OUT_FinalEnergyCons!$A$4:$A$10000)))*1,[1]OUT_FinalEnergyCons!E$4:E$10000)</f>
        <v>43.194589173230227</v>
      </c>
      <c r="H983" s="1" cm="1">
        <f t="array" ref="H983">SUMPRODUCT(([1]OUT_FinalEnergyCons!$B$4:$B$10000="Var_Fin")*1, ([1]OUT_FinalEnergyCons!$C$4:$C$10000="RLFO")*1,(ISNUMBER(SEARCH("RH*-SHLFOBR",[1]OUT_FinalEnergyCons!$A$4:$A$10000)))*1,[1]OUT_FinalEnergyCons!F$4:F$10000)</f>
        <v>39.506146257322257</v>
      </c>
      <c r="I983" s="1" cm="1">
        <f t="array" ref="I983">SUMPRODUCT(([1]OUT_FinalEnergyCons!$B$4:$B$10000="Var_Fin")*1, ([1]OUT_FinalEnergyCons!$C$4:$C$10000="RLFO")*1,(ISNUMBER(SEARCH("RH*-SHLFOBR",[1]OUT_FinalEnergyCons!$A$4:$A$10000)))*1,[1]OUT_FinalEnergyCons!G$4:G$10000)</f>
        <v>19.669592372464944</v>
      </c>
      <c r="J983" s="1" cm="1">
        <f t="array" ref="J983">SUMPRODUCT(([1]OUT_FinalEnergyCons!$B$4:$B$10000="Var_Fin")*1, ([1]OUT_FinalEnergyCons!$C$4:$C$10000="RLFO")*1,(ISNUMBER(SEARCH("RH*-SHLFOBR",[1]OUT_FinalEnergyCons!$A$4:$A$10000)))*1,[1]OUT_FinalEnergyCons!H$4:H$10000)</f>
        <v>4.3636882188697346</v>
      </c>
      <c r="K983" s="1" cm="1">
        <f t="array" ref="K983">SUMPRODUCT(([1]OUT_FinalEnergyCons!$B$4:$B$10000="Var_Fin")*1, ([1]OUT_FinalEnergyCons!$C$4:$C$10000="RLFO")*1,(ISNUMBER(SEARCH("RH*-SHLFOBR",[1]OUT_FinalEnergyCons!$A$4:$A$10000)))*1,[1]OUT_FinalEnergyCons!I$4:I$10000)</f>
        <v>0.36333487155313049</v>
      </c>
    </row>
    <row r="984" spans="2:11" x14ac:dyDescent="0.35">
      <c r="B984" s="5" t="str">
        <f t="shared" si="619"/>
        <v>SPS2</v>
      </c>
      <c r="C984" s="5" t="str">
        <f t="shared" si="634"/>
        <v>CH</v>
      </c>
      <c r="D984" t="s">
        <v>1008</v>
      </c>
      <c r="E984" t="s">
        <v>8</v>
      </c>
      <c r="F984" s="1">
        <f>F985</f>
        <v>50.371512119426157</v>
      </c>
      <c r="G984" s="1">
        <f t="shared" ref="G984:K984" si="636">G985</f>
        <v>43.194589173230227</v>
      </c>
      <c r="H984" s="1">
        <f t="shared" si="636"/>
        <v>39.505958882217904</v>
      </c>
      <c r="I984" s="1">
        <f t="shared" si="636"/>
        <v>19.668424885300915</v>
      </c>
      <c r="J984" s="1">
        <f t="shared" si="636"/>
        <v>4.3618389013782526</v>
      </c>
      <c r="K984" s="1">
        <f t="shared" si="636"/>
        <v>1.5213349747761349E-5</v>
      </c>
    </row>
    <row r="985" spans="2:11" x14ac:dyDescent="0.35">
      <c r="B985" s="5" t="str">
        <f t="shared" si="619"/>
        <v>SPS2</v>
      </c>
      <c r="C985" s="5" t="str">
        <f t="shared" si="634"/>
        <v>CH</v>
      </c>
      <c r="D985" t="s">
        <v>709</v>
      </c>
      <c r="E985" t="s">
        <v>8</v>
      </c>
      <c r="F985" s="1">
        <f>F983*IFERROR(F980/F979,0)</f>
        <v>50.371512119426157</v>
      </c>
      <c r="G985" s="1">
        <f t="shared" ref="G985:K985" si="637">G983*IFERROR(G980/G979,0)</f>
        <v>43.194589173230227</v>
      </c>
      <c r="H985" s="1">
        <f t="shared" si="637"/>
        <v>39.505958882217904</v>
      </c>
      <c r="I985" s="1">
        <f t="shared" si="637"/>
        <v>19.668424885300915</v>
      </c>
      <c r="J985" s="1">
        <f t="shared" si="637"/>
        <v>4.3618389013782526</v>
      </c>
      <c r="K985" s="1">
        <f t="shared" si="637"/>
        <v>1.5213349747761349E-5</v>
      </c>
    </row>
    <row r="986" spans="2:11" x14ac:dyDescent="0.35">
      <c r="B986" s="5" t="str">
        <f t="shared" si="619"/>
        <v>SPS2</v>
      </c>
      <c r="C986" s="5" t="str">
        <f t="shared" si="634"/>
        <v>CH</v>
      </c>
      <c r="D986" t="s">
        <v>1009</v>
      </c>
      <c r="E986" t="s">
        <v>8</v>
      </c>
      <c r="F986" s="1">
        <f>F987</f>
        <v>0</v>
      </c>
      <c r="G986" s="1">
        <f t="shared" ref="G986:K986" si="638">G987</f>
        <v>0</v>
      </c>
      <c r="H986" s="1">
        <f t="shared" si="638"/>
        <v>1.8737510435329341E-4</v>
      </c>
      <c r="I986" s="1">
        <f t="shared" si="638"/>
        <v>1.1674871640288131E-3</v>
      </c>
      <c r="J986" s="1">
        <f t="shared" si="638"/>
        <v>1.8493174914819832E-3</v>
      </c>
      <c r="K986" s="1">
        <f t="shared" si="638"/>
        <v>0.36331965820338274</v>
      </c>
    </row>
    <row r="987" spans="2:11" x14ac:dyDescent="0.35">
      <c r="B987" s="5" t="str">
        <f t="shared" si="619"/>
        <v>SPS2</v>
      </c>
      <c r="C987" s="5" t="str">
        <f t="shared" si="634"/>
        <v>CH</v>
      </c>
      <c r="D987" t="s">
        <v>710</v>
      </c>
      <c r="E987" t="s">
        <v>8</v>
      </c>
      <c r="F987" s="1">
        <f>F983-F985</f>
        <v>0</v>
      </c>
      <c r="G987" s="1">
        <f t="shared" ref="G987:K987" si="639">G983-G985</f>
        <v>0</v>
      </c>
      <c r="H987" s="1">
        <f t="shared" si="639"/>
        <v>1.8737510435329341E-4</v>
      </c>
      <c r="I987" s="1">
        <f t="shared" si="639"/>
        <v>1.1674871640288131E-3</v>
      </c>
      <c r="J987" s="1">
        <f t="shared" si="639"/>
        <v>1.8493174914819832E-3</v>
      </c>
      <c r="K987" s="1">
        <f t="shared" si="639"/>
        <v>0.36331965820338274</v>
      </c>
    </row>
    <row r="988" spans="2:11" x14ac:dyDescent="0.35">
      <c r="B988" s="5" t="str">
        <f t="shared" si="619"/>
        <v>SPS2</v>
      </c>
      <c r="C988" s="5" t="str">
        <f t="shared" si="634"/>
        <v>CH</v>
      </c>
      <c r="D988" t="s">
        <v>1010</v>
      </c>
      <c r="E988" t="s">
        <v>8</v>
      </c>
      <c r="F988" s="1">
        <f>F989</f>
        <v>9.8604469458447337</v>
      </c>
      <c r="G988" s="1">
        <f t="shared" ref="G988:K988" si="640">G989</f>
        <v>8.1255486413417035</v>
      </c>
      <c r="H988" s="1">
        <f t="shared" si="640"/>
        <v>8.8154798413526176</v>
      </c>
      <c r="I988" s="1">
        <f t="shared" si="640"/>
        <v>3.865381085426431</v>
      </c>
      <c r="J988" s="1">
        <f t="shared" si="640"/>
        <v>1.3016758181500649</v>
      </c>
      <c r="K988" s="1">
        <f t="shared" si="640"/>
        <v>0.12152477796695919</v>
      </c>
    </row>
    <row r="989" spans="2:11" x14ac:dyDescent="0.35">
      <c r="B989" s="5" t="str">
        <f t="shared" si="619"/>
        <v>SPS2</v>
      </c>
      <c r="C989" s="5" t="str">
        <f t="shared" si="634"/>
        <v>CH</v>
      </c>
      <c r="D989" t="s">
        <v>711</v>
      </c>
      <c r="E989" t="s">
        <v>8</v>
      </c>
      <c r="F989" s="1" cm="1">
        <f t="array" ref="F989">SUMPRODUCT(([1]OUT_FinalEnergyCons!$B$4:$B$10000="Var_Fin")*1, ([1]OUT_FinalEnergyCons!$C$4:$C$10000="RLFO")*1,(ISNUMBER(SEARCH("RH*-wHLFOBR",[1]OUT_FinalEnergyCons!$A$4:$A$10000)))*1,[1]OUT_FinalEnergyCons!D$4:D$10000)</f>
        <v>9.8604469458447337</v>
      </c>
      <c r="G989" s="1" cm="1">
        <f t="array" ref="G989">SUMPRODUCT(([1]OUT_FinalEnergyCons!$B$4:$B$10000="Var_Fin")*1, ([1]OUT_FinalEnergyCons!$C$4:$C$10000="RLFO")*1,(ISNUMBER(SEARCH("RH*-wHLFOBR",[1]OUT_FinalEnergyCons!$A$4:$A$10000)))*1,[1]OUT_FinalEnergyCons!E$4:E$10000)</f>
        <v>8.1255486413417035</v>
      </c>
      <c r="H989" s="1" cm="1">
        <f t="array" ref="H989">SUMPRODUCT(([1]OUT_FinalEnergyCons!$B$4:$B$10000="Var_Fin")*1, ([1]OUT_FinalEnergyCons!$C$4:$C$10000="RLFO")*1,(ISNUMBER(SEARCH("RH*-wHLFOBR",[1]OUT_FinalEnergyCons!$A$4:$A$10000)))*1,[1]OUT_FinalEnergyCons!F$4:F$10000)</f>
        <v>8.8154798413526176</v>
      </c>
      <c r="I989" s="1" cm="1">
        <f t="array" ref="I989">SUMPRODUCT(([1]OUT_FinalEnergyCons!$B$4:$B$10000="Var_Fin")*1, ([1]OUT_FinalEnergyCons!$C$4:$C$10000="RLFO")*1,(ISNUMBER(SEARCH("RH*-wHLFOBR",[1]OUT_FinalEnergyCons!$A$4:$A$10000)))*1,[1]OUT_FinalEnergyCons!G$4:G$10000)</f>
        <v>3.865381085426431</v>
      </c>
      <c r="J989" s="1" cm="1">
        <f t="array" ref="J989">SUMPRODUCT(([1]OUT_FinalEnergyCons!$B$4:$B$10000="Var_Fin")*1, ([1]OUT_FinalEnergyCons!$C$4:$C$10000="RLFO")*1,(ISNUMBER(SEARCH("RH*-wHLFOBR",[1]OUT_FinalEnergyCons!$A$4:$A$10000)))*1,[1]OUT_FinalEnergyCons!H$4:H$10000)</f>
        <v>1.3016758181500649</v>
      </c>
      <c r="K989" s="1" cm="1">
        <f t="array" ref="K989">SUMPRODUCT(([1]OUT_FinalEnergyCons!$B$4:$B$10000="Var_Fin")*1, ([1]OUT_FinalEnergyCons!$C$4:$C$10000="RLFO")*1,(ISNUMBER(SEARCH("RH*-wHLFOBR",[1]OUT_FinalEnergyCons!$A$4:$A$10000)))*1,[1]OUT_FinalEnergyCons!I$4:I$10000)</f>
        <v>0.12152477796695919</v>
      </c>
    </row>
    <row r="990" spans="2:11" x14ac:dyDescent="0.35">
      <c r="B990" s="5" t="str">
        <f t="shared" si="619"/>
        <v>SPS2</v>
      </c>
      <c r="C990" s="5" t="str">
        <f t="shared" si="634"/>
        <v>CH</v>
      </c>
      <c r="D990" t="s">
        <v>712</v>
      </c>
      <c r="E990" t="s">
        <v>8</v>
      </c>
      <c r="F990" s="1">
        <f>IFERROR(F980/F979,0)*F989</f>
        <v>9.8604469458447337</v>
      </c>
      <c r="G990" s="1">
        <f t="shared" ref="G990:K990" si="641">IFERROR(G980/G979,0)*G989</f>
        <v>8.1255486413417035</v>
      </c>
      <c r="H990" s="1">
        <f t="shared" si="641"/>
        <v>8.8154380301001503</v>
      </c>
      <c r="I990" s="1">
        <f t="shared" si="641"/>
        <v>3.8651516560251573</v>
      </c>
      <c r="J990" s="1">
        <f t="shared" si="641"/>
        <v>1.3011241719879183</v>
      </c>
      <c r="K990" s="1">
        <f t="shared" si="641"/>
        <v>5.0884159352154074E-6</v>
      </c>
    </row>
    <row r="991" spans="2:11" x14ac:dyDescent="0.35">
      <c r="B991" s="5" t="str">
        <f t="shared" si="619"/>
        <v>SPS2</v>
      </c>
      <c r="C991" s="5" t="str">
        <f t="shared" si="634"/>
        <v>CH</v>
      </c>
      <c r="D991" t="s">
        <v>713</v>
      </c>
      <c r="E991" t="s">
        <v>8</v>
      </c>
      <c r="F991" s="1">
        <f>F989-F990</f>
        <v>0</v>
      </c>
      <c r="G991" s="1">
        <f t="shared" ref="G991:K991" si="642">G989-G990</f>
        <v>0</v>
      </c>
      <c r="H991" s="1">
        <f t="shared" si="642"/>
        <v>4.1811252467383042E-5</v>
      </c>
      <c r="I991" s="1">
        <f t="shared" si="642"/>
        <v>2.2942940127368416E-4</v>
      </c>
      <c r="J991" s="1">
        <f t="shared" si="642"/>
        <v>5.5164616214664619E-4</v>
      </c>
      <c r="K991" s="1">
        <f t="shared" si="642"/>
        <v>0.12151968955102398</v>
      </c>
    </row>
    <row r="992" spans="2:11" x14ac:dyDescent="0.35">
      <c r="B992" s="5" t="str">
        <f t="shared" si="619"/>
        <v>SPS2</v>
      </c>
      <c r="C992" s="5" t="str">
        <f>C991</f>
        <v>CH</v>
      </c>
      <c r="D992" t="s">
        <v>677</v>
      </c>
      <c r="E992" t="s">
        <v>8</v>
      </c>
      <c r="F992" s="1">
        <f>SUM(F993:F994)</f>
        <v>47.00199703218027</v>
      </c>
      <c r="G992" s="1">
        <f t="shared" ref="G992:K992" si="643">SUM(G993:G994)</f>
        <v>48.2370087350536</v>
      </c>
      <c r="H992" s="1">
        <f t="shared" si="643"/>
        <v>47.372563582865027</v>
      </c>
      <c r="I992" s="1">
        <f t="shared" si="643"/>
        <v>39.401368278481584</v>
      </c>
      <c r="J992" s="1">
        <f t="shared" si="643"/>
        <v>22.50137958944828</v>
      </c>
      <c r="K992" s="1">
        <f t="shared" si="643"/>
        <v>15.565971978331056</v>
      </c>
    </row>
    <row r="993" spans="2:13" x14ac:dyDescent="0.35">
      <c r="B993" s="5" t="str">
        <f t="shared" si="619"/>
        <v>SPS2</v>
      </c>
      <c r="C993" s="5" t="str">
        <f t="shared" ref="C993:C1053" si="644">C992</f>
        <v>CH</v>
      </c>
      <c r="D993" t="s">
        <v>1011</v>
      </c>
      <c r="E993" t="s">
        <v>8</v>
      </c>
      <c r="F993" s="1">
        <f>[1]Residential!B$18</f>
        <v>46.694895609708929</v>
      </c>
      <c r="G993" s="1">
        <f>[1]Residential!C$18</f>
        <v>46.363178628141306</v>
      </c>
      <c r="H993" s="1">
        <f>[1]Residential!D$18</f>
        <v>46.087043966979572</v>
      </c>
      <c r="I993" s="1">
        <f>[1]Residential!E$18</f>
        <v>37.869024253319076</v>
      </c>
      <c r="J993" s="1">
        <f>[1]Residential!F$18</f>
        <v>18.896593117190193</v>
      </c>
      <c r="K993" s="1">
        <f>[1]Residential!G$18</f>
        <v>11.477865481650362</v>
      </c>
    </row>
    <row r="994" spans="2:13" x14ac:dyDescent="0.35">
      <c r="B994" s="5" t="str">
        <f t="shared" si="619"/>
        <v>SPS2</v>
      </c>
      <c r="C994" s="5" t="str">
        <f t="shared" si="644"/>
        <v>CH</v>
      </c>
      <c r="D994" t="s">
        <v>1012</v>
      </c>
      <c r="E994" t="s">
        <v>8</v>
      </c>
      <c r="F994" s="1">
        <f>[1]Residential!B$19</f>
        <v>0.30710142247133848</v>
      </c>
      <c r="G994" s="1">
        <f>[1]Residential!C$19</f>
        <v>1.8738301069122942</v>
      </c>
      <c r="H994" s="1">
        <f>[1]Residential!D$19</f>
        <v>1.285519615885452</v>
      </c>
      <c r="I994" s="1">
        <f>[1]Residential!E$19</f>
        <v>1.5323440251625062</v>
      </c>
      <c r="J994" s="1">
        <f>[1]Residential!F$19</f>
        <v>3.6047864722580871</v>
      </c>
      <c r="K994" s="1">
        <f>[1]Residential!G$19</f>
        <v>4.0881064966806946</v>
      </c>
    </row>
    <row r="995" spans="2:13" x14ac:dyDescent="0.35">
      <c r="B995" s="5" t="str">
        <f t="shared" si="619"/>
        <v>SPS2</v>
      </c>
      <c r="C995" s="5" t="str">
        <f t="shared" si="644"/>
        <v>CH</v>
      </c>
      <c r="D995" t="s">
        <v>1013</v>
      </c>
      <c r="E995" t="s">
        <v>8</v>
      </c>
      <c r="F995" s="1">
        <f>SUM(F996:F997)</f>
        <v>38.494695246177308</v>
      </c>
      <c r="G995" s="1">
        <f t="shared" ref="G995:K995" si="645">SUM(G996:G997)</f>
        <v>41.236072882585816</v>
      </c>
      <c r="H995" s="1">
        <f t="shared" si="645"/>
        <v>36.950913852927741</v>
      </c>
      <c r="I995" s="1">
        <f t="shared" si="645"/>
        <v>31.756871713448227</v>
      </c>
      <c r="J995" s="1">
        <f t="shared" si="645"/>
        <v>17.52866430415483</v>
      </c>
      <c r="K995" s="1">
        <f t="shared" si="645"/>
        <v>12.134782349494607</v>
      </c>
    </row>
    <row r="996" spans="2:13" x14ac:dyDescent="0.35">
      <c r="B996" s="5" t="str">
        <f t="shared" si="619"/>
        <v>SPS2</v>
      </c>
      <c r="C996" s="5" t="str">
        <f t="shared" si="644"/>
        <v>CH</v>
      </c>
      <c r="D996" t="s">
        <v>714</v>
      </c>
      <c r="E996" t="s">
        <v>8</v>
      </c>
      <c r="F996" s="1" cm="1">
        <f t="array" ref="F996">SUMPRODUCT(([1]OUT_FinalEnergyCons!$B$4:$B$10000="Var_Fin")*1,([1]OUT_FinalEnergyCons!$C$4:$C$10000="RNGA")*1, (ISNUMBER(SEARCH("RH*-SHNGABR",[1]OUT_FinalEnergyCons!$A$4:$A$10000)))*1,[1]OUT_FinalEnergyCons!D$4:D$10000)</f>
        <v>38.494695246177308</v>
      </c>
      <c r="G996" s="1" cm="1">
        <f t="array" ref="G996">SUMPRODUCT(([1]OUT_FinalEnergyCons!$B$4:$B$10000="Var_Fin")*1,([1]OUT_FinalEnergyCons!$C$4:$C$10000="RNGA")*1, (ISNUMBER(SEARCH("RH*-SHNGABR",[1]OUT_FinalEnergyCons!$A$4:$A$10000)))*1,[1]OUT_FinalEnergyCons!E$4:E$10000)</f>
        <v>41.236072882585816</v>
      </c>
      <c r="H996" s="1" cm="1">
        <f t="array" ref="H996">SUMPRODUCT(([1]OUT_FinalEnergyCons!$B$4:$B$10000="Var_Fin")*1,([1]OUT_FinalEnergyCons!$C$4:$C$10000="RNGA")*1, (ISNUMBER(SEARCH("RH*-SHNGABR",[1]OUT_FinalEnergyCons!$A$4:$A$10000)))*1,[1]OUT_FinalEnergyCons!F$4:F$10000)</f>
        <v>34.140825990680639</v>
      </c>
      <c r="I996" s="1" cm="1">
        <f t="array" ref="I996">SUMPRODUCT(([1]OUT_FinalEnergyCons!$B$4:$B$10000="Var_Fin")*1,([1]OUT_FinalEnergyCons!$C$4:$C$10000="RNGA")*1, (ISNUMBER(SEARCH("RH*-SHNGABR",[1]OUT_FinalEnergyCons!$A$4:$A$10000)))*1,[1]OUT_FinalEnergyCons!G$4:G$10000)</f>
        <v>24.4986727777965</v>
      </c>
      <c r="J996" s="1" cm="1">
        <f t="array" ref="J996">SUMPRODUCT(([1]OUT_FinalEnergyCons!$B$4:$B$10000="Var_Fin")*1,([1]OUT_FinalEnergyCons!$C$4:$C$10000="RNGA")*1, (ISNUMBER(SEARCH("RH*-SHNGABR",[1]OUT_FinalEnergyCons!$A$4:$A$10000)))*1,[1]OUT_FinalEnergyCons!H$4:H$10000)</f>
        <v>6.999407813635333</v>
      </c>
      <c r="K996" s="1" cm="1">
        <f t="array" ref="K996">SUMPRODUCT(([1]OUT_FinalEnergyCons!$B$4:$B$10000="Var_Fin")*1,([1]OUT_FinalEnergyCons!$C$4:$C$10000="RNGA")*1, (ISNUMBER(SEARCH("RH*-SHNGABR",[1]OUT_FinalEnergyCons!$A$4:$A$10000)))*1,[1]OUT_FinalEnergyCons!I$4:I$10000)</f>
        <v>2.8190290304340895</v>
      </c>
    </row>
    <row r="997" spans="2:13" x14ac:dyDescent="0.35">
      <c r="B997" s="5" t="str">
        <f t="shared" si="619"/>
        <v>SPS2</v>
      </c>
      <c r="C997" s="5" t="str">
        <f t="shared" si="644"/>
        <v>CH</v>
      </c>
      <c r="D997" t="s">
        <v>715</v>
      </c>
      <c r="E997" t="s">
        <v>8</v>
      </c>
      <c r="F997" s="1" cm="1">
        <f t="array" ref="F997">SUMPRODUCT(([1]OUT_FinalEnergyCons!$B$4:$B$10000="Var_Fin")*1, ([1]OUT_FinalEnergyCons!$C$4:$C$10000="RNGA")*1,ISNUMBER(SEARCH("RH*-SHngahp",[1]OUT_FinalEnergyCons!$A$4:$A$10000))*1,[1]OUT_FinalEnergyCons!D$4:D$10000)</f>
        <v>0</v>
      </c>
      <c r="G997" s="1" cm="1">
        <f t="array" ref="G997">SUMPRODUCT(([1]OUT_FinalEnergyCons!$B$4:$B$10000="Var_Fin")*1, ([1]OUT_FinalEnergyCons!$C$4:$C$10000="RNGA")*1,ISNUMBER(SEARCH("RH*-SHngahp",[1]OUT_FinalEnergyCons!$A$4:$A$10000))*1,[1]OUT_FinalEnergyCons!E$4:E$10000)</f>
        <v>0</v>
      </c>
      <c r="H997" s="1" cm="1">
        <f t="array" ref="H997">SUMPRODUCT(([1]OUT_FinalEnergyCons!$B$4:$B$10000="Var_Fin")*1, ([1]OUT_FinalEnergyCons!$C$4:$C$10000="RNGA")*1,ISNUMBER(SEARCH("RH*-SHngahp",[1]OUT_FinalEnergyCons!$A$4:$A$10000))*1,[1]OUT_FinalEnergyCons!F$4:F$10000)</f>
        <v>2.8100878622470993</v>
      </c>
      <c r="I997" s="1" cm="1">
        <f t="array" ref="I997">SUMPRODUCT(([1]OUT_FinalEnergyCons!$B$4:$B$10000="Var_Fin")*1, ([1]OUT_FinalEnergyCons!$C$4:$C$10000="RNGA")*1,ISNUMBER(SEARCH("RH*-SHngahp",[1]OUT_FinalEnergyCons!$A$4:$A$10000))*1,[1]OUT_FinalEnergyCons!G$4:G$10000)</f>
        <v>7.2581989356517287</v>
      </c>
      <c r="J997" s="1" cm="1">
        <f t="array" ref="J997">SUMPRODUCT(([1]OUT_FinalEnergyCons!$B$4:$B$10000="Var_Fin")*1, ([1]OUT_FinalEnergyCons!$C$4:$C$10000="RNGA")*1,ISNUMBER(SEARCH("RH*-SHngahp",[1]OUT_FinalEnergyCons!$A$4:$A$10000))*1,[1]OUT_FinalEnergyCons!H$4:H$10000)</f>
        <v>10.529256490519497</v>
      </c>
      <c r="K997" s="1" cm="1">
        <f t="array" ref="K997">SUMPRODUCT(([1]OUT_FinalEnergyCons!$B$4:$B$10000="Var_Fin")*1, ([1]OUT_FinalEnergyCons!$C$4:$C$10000="RNGA")*1,ISNUMBER(SEARCH("RH*-SHngahp",[1]OUT_FinalEnergyCons!$A$4:$A$10000))*1,[1]OUT_FinalEnergyCons!I$4:I$10000)</f>
        <v>9.3157533190605175</v>
      </c>
    </row>
    <row r="998" spans="2:13" x14ac:dyDescent="0.35">
      <c r="B998" s="5" t="str">
        <f t="shared" si="619"/>
        <v>SPS2</v>
      </c>
      <c r="C998" s="5" t="str">
        <f t="shared" si="644"/>
        <v>CH</v>
      </c>
      <c r="D998" t="s">
        <v>1014</v>
      </c>
      <c r="E998" t="s">
        <v>8</v>
      </c>
      <c r="F998" s="1">
        <f>SUM(F999:F1000)</f>
        <v>38.243178791257151</v>
      </c>
      <c r="G998" s="1">
        <f t="shared" ref="G998:K998" si="646">SUM(G999:G1000)</f>
        <v>39.634203345388173</v>
      </c>
      <c r="H998" s="1">
        <f t="shared" si="646"/>
        <v>35.948200024706424</v>
      </c>
      <c r="I998" s="1">
        <f t="shared" si="646"/>
        <v>30.521826973782911</v>
      </c>
      <c r="J998" s="1">
        <f t="shared" si="646"/>
        <v>14.720521287448365</v>
      </c>
      <c r="K998" s="1">
        <f t="shared" si="646"/>
        <v>8.9478125523092196</v>
      </c>
    </row>
    <row r="999" spans="2:13" x14ac:dyDescent="0.35">
      <c r="B999" s="5" t="str">
        <f t="shared" si="619"/>
        <v>SPS2</v>
      </c>
      <c r="C999" s="5" t="str">
        <f t="shared" si="644"/>
        <v>CH</v>
      </c>
      <c r="D999" t="s">
        <v>716</v>
      </c>
      <c r="E999" t="s">
        <v>8</v>
      </c>
      <c r="F999" s="1">
        <f>F996-F1002</f>
        <v>38.243178791257151</v>
      </c>
      <c r="G999" s="1">
        <f t="shared" ref="G999:K999" si="647">G996-G1002</f>
        <v>39.634203345388173</v>
      </c>
      <c r="H999" s="1">
        <f t="shared" si="647"/>
        <v>33.214367758442883</v>
      </c>
      <c r="I999" s="1">
        <f t="shared" si="647"/>
        <v>23.545903965552743</v>
      </c>
      <c r="J999" s="1">
        <f t="shared" si="647"/>
        <v>5.8780823188980182</v>
      </c>
      <c r="K999" s="1">
        <f t="shared" si="647"/>
        <v>2.0786646696545636</v>
      </c>
    </row>
    <row r="1000" spans="2:13" x14ac:dyDescent="0.35">
      <c r="B1000" s="5" t="str">
        <f t="shared" si="619"/>
        <v>SPS2</v>
      </c>
      <c r="C1000" s="5" t="str">
        <f t="shared" si="644"/>
        <v>CH</v>
      </c>
      <c r="D1000" t="s">
        <v>734</v>
      </c>
      <c r="E1000" t="s">
        <v>8</v>
      </c>
      <c r="F1000" s="1">
        <f>F997-F1003</f>
        <v>0</v>
      </c>
      <c r="G1000" s="1">
        <f t="shared" ref="G1000:K1000" si="648">G997-G1003</f>
        <v>0</v>
      </c>
      <c r="H1000" s="1">
        <f t="shared" si="648"/>
        <v>2.7338322662635437</v>
      </c>
      <c r="I1000" s="1">
        <f t="shared" si="648"/>
        <v>6.9759230082301693</v>
      </c>
      <c r="J1000" s="1">
        <f t="shared" si="648"/>
        <v>8.8424389685503471</v>
      </c>
      <c r="K1000" s="1">
        <f t="shared" si="648"/>
        <v>6.8691478826546568</v>
      </c>
    </row>
    <row r="1001" spans="2:13" x14ac:dyDescent="0.35">
      <c r="B1001" s="5" t="str">
        <f t="shared" si="619"/>
        <v>SPS2</v>
      </c>
      <c r="C1001" s="5" t="str">
        <f t="shared" si="644"/>
        <v>CH</v>
      </c>
      <c r="D1001" t="s">
        <v>1015</v>
      </c>
      <c r="E1001" t="s">
        <v>8</v>
      </c>
      <c r="F1001" s="1">
        <f>SUM(F1002:F1003)</f>
        <v>0.25151645492015701</v>
      </c>
      <c r="G1001" s="1">
        <f t="shared" ref="G1001:K1001" si="649">SUM(G1002:G1003)</f>
        <v>1.6018695371976421</v>
      </c>
      <c r="H1001" s="1">
        <f t="shared" si="649"/>
        <v>1.0027138282213119</v>
      </c>
      <c r="I1001" s="1">
        <f t="shared" si="649"/>
        <v>1.2350447396653177</v>
      </c>
      <c r="J1001" s="1">
        <f t="shared" si="649"/>
        <v>2.808143016706464</v>
      </c>
      <c r="K1001" s="1">
        <f t="shared" si="649"/>
        <v>3.1869697971853861</v>
      </c>
      <c r="L1001" s="1"/>
    </row>
    <row r="1002" spans="2:13" x14ac:dyDescent="0.35">
      <c r="B1002" s="5" t="str">
        <f t="shared" si="619"/>
        <v>SPS2</v>
      </c>
      <c r="C1002" s="5" t="str">
        <f t="shared" si="644"/>
        <v>CH</v>
      </c>
      <c r="D1002" t="s">
        <v>717</v>
      </c>
      <c r="E1002" t="s">
        <v>8</v>
      </c>
      <c r="F1002" s="1">
        <f>F996*IFERROR(F$994/F$992,0)</f>
        <v>0.25151645492015701</v>
      </c>
      <c r="G1002" s="1">
        <f t="shared" ref="G1002:K1002" si="650">G996*IFERROR(G994/G992,0)</f>
        <v>1.6018695371976421</v>
      </c>
      <c r="H1002" s="1">
        <f t="shared" si="650"/>
        <v>0.92645823223775614</v>
      </c>
      <c r="I1002" s="1">
        <f t="shared" si="650"/>
        <v>0.95276881224375864</v>
      </c>
      <c r="J1002" s="1">
        <f t="shared" si="650"/>
        <v>1.1213254947373144</v>
      </c>
      <c r="K1002" s="1">
        <f t="shared" si="650"/>
        <v>0.74036436077952572</v>
      </c>
    </row>
    <row r="1003" spans="2:13" x14ac:dyDescent="0.35">
      <c r="B1003" s="5" t="str">
        <f t="shared" si="619"/>
        <v>SPS2</v>
      </c>
      <c r="C1003" s="5" t="str">
        <f t="shared" si="644"/>
        <v>CH</v>
      </c>
      <c r="D1003" t="s">
        <v>735</v>
      </c>
      <c r="E1003" t="s">
        <v>8</v>
      </c>
      <c r="F1003" s="1">
        <f>F997*IFERROR(F$994/F$992,0)</f>
        <v>0</v>
      </c>
      <c r="G1003" s="1">
        <f t="shared" ref="G1003:K1003" si="651">G997*IFERROR(G$994/G$992,0)</f>
        <v>0</v>
      </c>
      <c r="H1003" s="1">
        <f t="shared" si="651"/>
        <v>7.625559598355576E-2</v>
      </c>
      <c r="I1003" s="1">
        <f t="shared" si="651"/>
        <v>0.2822759274215591</v>
      </c>
      <c r="J1003" s="1">
        <f t="shared" si="651"/>
        <v>1.6868175219691495</v>
      </c>
      <c r="K1003" s="1">
        <f t="shared" si="651"/>
        <v>2.4466054364058603</v>
      </c>
    </row>
    <row r="1004" spans="2:13" x14ac:dyDescent="0.35">
      <c r="B1004" s="5" t="str">
        <f t="shared" si="619"/>
        <v>SPS2</v>
      </c>
      <c r="C1004" s="5" t="str">
        <f t="shared" si="644"/>
        <v>CH</v>
      </c>
      <c r="D1004" t="s">
        <v>1016</v>
      </c>
      <c r="E1004" t="s">
        <v>8</v>
      </c>
      <c r="F1004" s="1">
        <f>SUM(F1005:F1006)</f>
        <v>8.5073017860029623</v>
      </c>
      <c r="G1004" s="1">
        <f t="shared" ref="G1004:K1004" si="652">SUM(G1005:G1006)</f>
        <v>7.0009358524677836</v>
      </c>
      <c r="H1004" s="1">
        <f t="shared" si="652"/>
        <v>10.421649729937288</v>
      </c>
      <c r="I1004" s="1">
        <f t="shared" si="652"/>
        <v>7.6444965650333554</v>
      </c>
      <c r="J1004" s="1">
        <f t="shared" si="652"/>
        <v>4.9727152852934502</v>
      </c>
      <c r="K1004" s="1">
        <f t="shared" si="652"/>
        <v>3.4311896288364494</v>
      </c>
      <c r="L1004" s="1"/>
      <c r="M1004" s="19"/>
    </row>
    <row r="1005" spans="2:13" x14ac:dyDescent="0.35">
      <c r="B1005" s="5" t="str">
        <f t="shared" si="619"/>
        <v>SPS2</v>
      </c>
      <c r="C1005" s="5" t="str">
        <f t="shared" si="644"/>
        <v>CH</v>
      </c>
      <c r="D1005" t="s">
        <v>719</v>
      </c>
      <c r="E1005" t="s">
        <v>8</v>
      </c>
      <c r="F1005" s="1">
        <f>F992-F996-F997-F1006</f>
        <v>8.5073017860029623</v>
      </c>
      <c r="G1005" s="1">
        <f t="shared" ref="G1005:K1005" si="653">G992-G996-G997-G1006</f>
        <v>7.0009358524677836</v>
      </c>
      <c r="H1005" s="1">
        <f t="shared" si="653"/>
        <v>9.8753945524227316</v>
      </c>
      <c r="I1005" s="1">
        <f t="shared" si="653"/>
        <v>6.191809094172732</v>
      </c>
      <c r="J1005" s="1">
        <f t="shared" si="653"/>
        <v>2.5856331332752016</v>
      </c>
      <c r="K1005" s="1">
        <f t="shared" si="653"/>
        <v>1.2261730275085712</v>
      </c>
    </row>
    <row r="1006" spans="2:13" x14ac:dyDescent="0.35">
      <c r="B1006" s="5" t="str">
        <f t="shared" si="619"/>
        <v>SPS2</v>
      </c>
      <c r="C1006" s="5" t="str">
        <f t="shared" si="644"/>
        <v>CH</v>
      </c>
      <c r="D1006" t="s">
        <v>736</v>
      </c>
      <c r="E1006" t="s">
        <v>8</v>
      </c>
      <c r="F1006" s="1" cm="1">
        <f t="array" ref="F1006">SUMPRODUCT(([1]OUT_FinalEnergyCons!$B$4:$B$10000="Var_Fin")*1, ([1]OUT_FinalEnergyCons!$C$4:$C$10000="RNGA")*1,ISNUMBER(SEARCH("RH*-wHngahp",[1]OUT_FinalEnergyCons!$A$4:$A$10000))*1,[1]OUT_FinalEnergyCons!D$4:D$10000)</f>
        <v>0</v>
      </c>
      <c r="G1006" s="1" cm="1">
        <f t="array" ref="G1006">SUMPRODUCT(([1]OUT_FinalEnergyCons!$B$4:$B$10000="Var_Fin")*1, ([1]OUT_FinalEnergyCons!$C$4:$C$10000="RNGA")*1,ISNUMBER(SEARCH("RH*-wHngahp",[1]OUT_FinalEnergyCons!$A$4:$A$10000))*1,[1]OUT_FinalEnergyCons!E$4:E$10000)</f>
        <v>0</v>
      </c>
      <c r="H1006" s="1" cm="1">
        <f t="array" ref="H1006">SUMPRODUCT(([1]OUT_FinalEnergyCons!$B$4:$B$10000="Var_Fin")*1, ([1]OUT_FinalEnergyCons!$C$4:$C$10000="RNGA")*1,ISNUMBER(SEARCH("RH*-wHngahp",[1]OUT_FinalEnergyCons!$A$4:$A$10000))*1,[1]OUT_FinalEnergyCons!F$4:F$10000)</f>
        <v>0.54625517751455643</v>
      </c>
      <c r="I1006" s="1" cm="1">
        <f t="array" ref="I1006">SUMPRODUCT(([1]OUT_FinalEnergyCons!$B$4:$B$10000="Var_Fin")*1, ([1]OUT_FinalEnergyCons!$C$4:$C$10000="RNGA")*1,ISNUMBER(SEARCH("RH*-wHngahp",[1]OUT_FinalEnergyCons!$A$4:$A$10000))*1,[1]OUT_FinalEnergyCons!G$4:G$10000)</f>
        <v>1.4526874708606232</v>
      </c>
      <c r="J1006" s="1" cm="1">
        <f t="array" ref="J1006">SUMPRODUCT(([1]OUT_FinalEnergyCons!$B$4:$B$10000="Var_Fin")*1, ([1]OUT_FinalEnergyCons!$C$4:$C$10000="RNGA")*1,ISNUMBER(SEARCH("RH*-wHngahp",[1]OUT_FinalEnergyCons!$A$4:$A$10000))*1,[1]OUT_FinalEnergyCons!H$4:H$10000)</f>
        <v>2.3870821520182486</v>
      </c>
      <c r="K1006" s="1" cm="1">
        <f t="array" ref="K1006">SUMPRODUCT(([1]OUT_FinalEnergyCons!$B$4:$B$10000="Var_Fin")*1, ([1]OUT_FinalEnergyCons!$C$4:$C$10000="RNGA")*1,ISNUMBER(SEARCH("RH*-wHngahp",[1]OUT_FinalEnergyCons!$A$4:$A$10000))*1,[1]OUT_FinalEnergyCons!I$4:I$10000)</f>
        <v>2.2050166013278782</v>
      </c>
    </row>
    <row r="1007" spans="2:13" x14ac:dyDescent="0.35">
      <c r="B1007" s="5" t="str">
        <f t="shared" si="619"/>
        <v>SPS2</v>
      </c>
      <c r="C1007" s="5" t="str">
        <f t="shared" si="644"/>
        <v>CH</v>
      </c>
      <c r="D1007" t="s">
        <v>1017</v>
      </c>
      <c r="E1007" t="s">
        <v>8</v>
      </c>
      <c r="F1007" s="1">
        <f>SUM(F1008:F1009)</f>
        <v>8.4517168184517804</v>
      </c>
      <c r="G1007" s="1">
        <f t="shared" ref="G1007:K1007" si="654">SUM(G1008:G1009)</f>
        <v>6.7289752827531313</v>
      </c>
      <c r="H1007" s="1">
        <f t="shared" si="654"/>
        <v>10.138843942273148</v>
      </c>
      <c r="I1007" s="1">
        <f t="shared" si="654"/>
        <v>7.3471972795361662</v>
      </c>
      <c r="J1007" s="1">
        <f t="shared" si="654"/>
        <v>4.1760718297418276</v>
      </c>
      <c r="K1007" s="1">
        <f t="shared" si="654"/>
        <v>2.5300529293411405</v>
      </c>
    </row>
    <row r="1008" spans="2:13" x14ac:dyDescent="0.35">
      <c r="B1008" s="5" t="str">
        <f t="shared" si="619"/>
        <v>SPS2</v>
      </c>
      <c r="C1008" s="5" t="str">
        <f t="shared" si="644"/>
        <v>CH</v>
      </c>
      <c r="D1008" t="s">
        <v>718</v>
      </c>
      <c r="E1008" t="s">
        <v>8</v>
      </c>
      <c r="F1008" s="1">
        <f>F1005-F1011</f>
        <v>8.4517168184517804</v>
      </c>
      <c r="G1008" s="1">
        <f t="shared" ref="G1008:K1008" si="655">G1005-G1011</f>
        <v>6.7289752827531313</v>
      </c>
      <c r="H1008" s="1">
        <f t="shared" si="655"/>
        <v>9.6074121497068354</v>
      </c>
      <c r="I1008" s="1">
        <f t="shared" si="655"/>
        <v>5.951005739239899</v>
      </c>
      <c r="J1008" s="1">
        <f t="shared" si="655"/>
        <v>2.1714071830839727</v>
      </c>
      <c r="K1008" s="1">
        <f t="shared" si="655"/>
        <v>0.9041420019619173</v>
      </c>
    </row>
    <row r="1009" spans="2:11" x14ac:dyDescent="0.35">
      <c r="B1009" s="5" t="str">
        <f t="shared" si="619"/>
        <v>SPS2</v>
      </c>
      <c r="C1009" s="5" t="str">
        <f t="shared" si="644"/>
        <v>CH</v>
      </c>
      <c r="D1009" t="s">
        <v>737</v>
      </c>
      <c r="E1009" t="s">
        <v>8</v>
      </c>
      <c r="F1009" s="1">
        <f>F1006-F1012</f>
        <v>0</v>
      </c>
      <c r="G1009" s="1">
        <f t="shared" ref="G1009:K1009" si="656">G1006-G1012</f>
        <v>0</v>
      </c>
      <c r="H1009" s="1">
        <f t="shared" si="656"/>
        <v>0.5314317925663129</v>
      </c>
      <c r="I1009" s="1">
        <f t="shared" si="656"/>
        <v>1.3961915402962675</v>
      </c>
      <c r="J1009" s="1">
        <f t="shared" si="656"/>
        <v>2.0046646466578544</v>
      </c>
      <c r="K1009" s="1">
        <f t="shared" si="656"/>
        <v>1.6259109273792234</v>
      </c>
    </row>
    <row r="1010" spans="2:11" x14ac:dyDescent="0.35">
      <c r="B1010" s="5" t="str">
        <f t="shared" si="619"/>
        <v>SPS2</v>
      </c>
      <c r="C1010" s="5" t="str">
        <f t="shared" si="644"/>
        <v>CH</v>
      </c>
      <c r="D1010" t="s">
        <v>1018</v>
      </c>
      <c r="E1010" t="s">
        <v>8</v>
      </c>
      <c r="F1010" s="1">
        <f t="shared" ref="F1010:K1010" si="657">SUM(F1011:F1012)</f>
        <v>5.5584967551181474E-2</v>
      </c>
      <c r="G1010" s="1">
        <f t="shared" si="657"/>
        <v>0.27196056971465199</v>
      </c>
      <c r="H1010" s="1">
        <f t="shared" si="657"/>
        <v>0.28280578766414022</v>
      </c>
      <c r="I1010" s="1">
        <f t="shared" si="657"/>
        <v>0.29729928549718854</v>
      </c>
      <c r="J1010" s="1">
        <f t="shared" si="657"/>
        <v>0.7966434555516233</v>
      </c>
      <c r="K1010" s="1">
        <f t="shared" si="657"/>
        <v>0.90113669949530883</v>
      </c>
    </row>
    <row r="1011" spans="2:11" x14ac:dyDescent="0.35">
      <c r="B1011" s="5" t="str">
        <f t="shared" si="619"/>
        <v>SPS2</v>
      </c>
      <c r="C1011" s="5" t="str">
        <f t="shared" si="644"/>
        <v>CH</v>
      </c>
      <c r="D1011" t="s">
        <v>738</v>
      </c>
      <c r="E1011" t="s">
        <v>8</v>
      </c>
      <c r="F1011" s="1">
        <f>F1005*IFERROR(F$994/F$992,0)</f>
        <v>5.5584967551181474E-2</v>
      </c>
      <c r="G1011" s="1">
        <f t="shared" ref="G1011:K1011" si="658">G1005*IFERROR(G$994/G$992,0)</f>
        <v>0.27196056971465199</v>
      </c>
      <c r="H1011" s="1">
        <f t="shared" si="658"/>
        <v>0.26798240271589668</v>
      </c>
      <c r="I1011" s="1">
        <f t="shared" si="658"/>
        <v>0.2408033549328327</v>
      </c>
      <c r="J1011" s="1">
        <f t="shared" si="658"/>
        <v>0.41422595019122893</v>
      </c>
      <c r="K1011" s="1">
        <f t="shared" si="658"/>
        <v>0.32203102554665386</v>
      </c>
    </row>
    <row r="1012" spans="2:11" x14ac:dyDescent="0.35">
      <c r="B1012" s="5" t="str">
        <f t="shared" ref="B1012:B1075" si="659">B1011</f>
        <v>SPS2</v>
      </c>
      <c r="C1012" s="5" t="str">
        <f t="shared" si="644"/>
        <v>CH</v>
      </c>
      <c r="D1012" t="s">
        <v>739</v>
      </c>
      <c r="E1012" t="s">
        <v>8</v>
      </c>
      <c r="F1012" s="1">
        <f>F1006*IFERROR(F$994/F$992,0)</f>
        <v>0</v>
      </c>
      <c r="G1012" s="1">
        <f t="shared" ref="G1012:K1012" si="660">G1006*IFERROR(G$994/G$992,0)</f>
        <v>0</v>
      </c>
      <c r="H1012" s="1">
        <f t="shared" si="660"/>
        <v>1.4823384948243552E-2</v>
      </c>
      <c r="I1012" s="1">
        <f t="shared" si="660"/>
        <v>5.649593056435584E-2</v>
      </c>
      <c r="J1012" s="1">
        <f t="shared" si="660"/>
        <v>0.38241750536039432</v>
      </c>
      <c r="K1012" s="1">
        <f t="shared" si="660"/>
        <v>0.57910567394865498</v>
      </c>
    </row>
    <row r="1013" spans="2:11" x14ac:dyDescent="0.35">
      <c r="B1013" s="5" t="str">
        <f t="shared" si="659"/>
        <v>SPS2</v>
      </c>
      <c r="C1013" s="5" t="str">
        <f t="shared" si="644"/>
        <v>CH</v>
      </c>
      <c r="D1013" t="s">
        <v>1019</v>
      </c>
      <c r="E1013" t="s">
        <v>8</v>
      </c>
      <c r="F1013" s="1">
        <f>[1]Residential!B$20</f>
        <v>0.10001563565695698</v>
      </c>
      <c r="G1013" s="1">
        <f>[1]Residential!C$20</f>
        <v>0.10000665723681604</v>
      </c>
      <c r="H1013" s="1">
        <f>[1]Residential!D$20</f>
        <v>2.6957107617620768E-2</v>
      </c>
      <c r="I1013" s="1">
        <f>[1]Residential!E$20</f>
        <v>2.2835241057890516E-4</v>
      </c>
      <c r="J1013" s="1">
        <f>[1]Residential!F$20</f>
        <v>0</v>
      </c>
      <c r="K1013" s="1">
        <f>[1]Residential!G$20</f>
        <v>0</v>
      </c>
    </row>
    <row r="1014" spans="2:11" x14ac:dyDescent="0.35">
      <c r="B1014" s="5" t="str">
        <f t="shared" si="659"/>
        <v>SPS2</v>
      </c>
      <c r="C1014" s="5" t="str">
        <f t="shared" si="644"/>
        <v>CH</v>
      </c>
      <c r="D1014" t="s">
        <v>1020</v>
      </c>
      <c r="E1014" t="s">
        <v>8</v>
      </c>
      <c r="F1014" s="1">
        <f>F1013</f>
        <v>0.10001563565695698</v>
      </c>
      <c r="G1014" s="1">
        <f t="shared" ref="G1014:G1015" si="661">G1013</f>
        <v>0.10000665723681604</v>
      </c>
      <c r="H1014" s="1">
        <f t="shared" ref="H1014:H1015" si="662">H1013</f>
        <v>2.6957107617620768E-2</v>
      </c>
      <c r="I1014" s="1">
        <f t="shared" ref="I1014:I1015" si="663">I1013</f>
        <v>2.2835241057890516E-4</v>
      </c>
      <c r="J1014" s="1">
        <f t="shared" ref="J1014:J1015" si="664">J1013</f>
        <v>0</v>
      </c>
      <c r="K1014" s="1">
        <f t="shared" ref="K1014:K1015" si="665">K1013</f>
        <v>0</v>
      </c>
    </row>
    <row r="1015" spans="2:11" x14ac:dyDescent="0.35">
      <c r="B1015" s="5" t="str">
        <f t="shared" si="659"/>
        <v>SPS2</v>
      </c>
      <c r="C1015" s="5" t="str">
        <f t="shared" si="644"/>
        <v>CH</v>
      </c>
      <c r="D1015" t="s">
        <v>764</v>
      </c>
      <c r="E1015" t="s">
        <v>8</v>
      </c>
      <c r="F1015" s="1">
        <f t="shared" ref="F1015" si="666">F1014</f>
        <v>0.10001563565695698</v>
      </c>
      <c r="G1015" s="1">
        <f t="shared" si="661"/>
        <v>0.10000665723681604</v>
      </c>
      <c r="H1015" s="1">
        <f t="shared" si="662"/>
        <v>2.6957107617620768E-2</v>
      </c>
      <c r="I1015" s="1">
        <f t="shared" si="663"/>
        <v>2.2835241057890516E-4</v>
      </c>
      <c r="J1015" s="1">
        <f t="shared" si="664"/>
        <v>0</v>
      </c>
      <c r="K1015" s="1">
        <f t="shared" si="665"/>
        <v>0</v>
      </c>
    </row>
    <row r="1016" spans="2:11" x14ac:dyDescent="0.35">
      <c r="B1016" s="5" t="str">
        <f t="shared" si="659"/>
        <v>SPS2</v>
      </c>
      <c r="C1016" s="5" t="str">
        <f t="shared" si="644"/>
        <v>CH</v>
      </c>
      <c r="D1016" t="s">
        <v>1021</v>
      </c>
      <c r="E1016" t="s">
        <v>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2:11" x14ac:dyDescent="0.35">
      <c r="B1017" s="5" t="str">
        <f t="shared" si="659"/>
        <v>SPS2</v>
      </c>
      <c r="C1017" s="5" t="str">
        <f t="shared" si="644"/>
        <v>CH</v>
      </c>
      <c r="D1017" t="s">
        <v>765</v>
      </c>
      <c r="E1017" t="s">
        <v>8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2:11" x14ac:dyDescent="0.35">
      <c r="B1018" s="5" t="str">
        <f t="shared" si="659"/>
        <v>SPS2</v>
      </c>
      <c r="C1018" s="5" t="str">
        <f t="shared" si="644"/>
        <v>CH</v>
      </c>
      <c r="D1018" t="s">
        <v>1022</v>
      </c>
      <c r="E1018" t="s">
        <v>8</v>
      </c>
      <c r="F1018" s="1">
        <f>F1019+F1021</f>
        <v>13.723095357407713</v>
      </c>
      <c r="G1018" s="1">
        <f t="shared" ref="G1018:K1018" si="667">G1019+G1021</f>
        <v>15.779749432794198</v>
      </c>
      <c r="H1018" s="1">
        <f t="shared" si="667"/>
        <v>17.83389380350188</v>
      </c>
      <c r="I1018" s="1">
        <f t="shared" si="667"/>
        <v>15.763349175935417</v>
      </c>
      <c r="J1018" s="1">
        <f t="shared" si="667"/>
        <v>11.215551747424156</v>
      </c>
      <c r="K1018" s="1">
        <f t="shared" si="667"/>
        <v>6.9124123098753509</v>
      </c>
    </row>
    <row r="1019" spans="2:11" x14ac:dyDescent="0.35">
      <c r="B1019" s="5" t="str">
        <f t="shared" si="659"/>
        <v>SPS2</v>
      </c>
      <c r="C1019" s="5" t="str">
        <f t="shared" si="644"/>
        <v>CH</v>
      </c>
      <c r="D1019" t="s">
        <v>1023</v>
      </c>
      <c r="E1019" t="s">
        <v>8</v>
      </c>
      <c r="F1019" s="1">
        <f>F1020</f>
        <v>12.682100263411431</v>
      </c>
      <c r="G1019" s="1">
        <f t="shared" ref="G1019:K1019" si="668">G1020</f>
        <v>14.585218663766398</v>
      </c>
      <c r="H1019" s="1">
        <f t="shared" si="668"/>
        <v>15.037657243558986</v>
      </c>
      <c r="I1019" s="1">
        <f t="shared" si="668"/>
        <v>13.08869026421196</v>
      </c>
      <c r="J1019" s="1">
        <f t="shared" si="668"/>
        <v>8.9551184055793804</v>
      </c>
      <c r="K1019" s="1">
        <f t="shared" si="668"/>
        <v>5.204802327866223</v>
      </c>
    </row>
    <row r="1020" spans="2:11" x14ac:dyDescent="0.35">
      <c r="B1020" s="5" t="str">
        <f t="shared" si="659"/>
        <v>SPS2</v>
      </c>
      <c r="C1020" s="5" t="str">
        <f t="shared" si="644"/>
        <v>CH</v>
      </c>
      <c r="D1020" t="s">
        <v>766</v>
      </c>
      <c r="E1020" t="s">
        <v>8</v>
      </c>
      <c r="F1020" s="1">
        <f>[1]Residential!B$22-F1022-F1023</f>
        <v>12.682100263411431</v>
      </c>
      <c r="G1020" s="1">
        <f>[1]Residential!C$22-G1022-G1023</f>
        <v>14.585218663766398</v>
      </c>
      <c r="H1020" s="1">
        <f>[1]Residential!D$22-H1022-H1023</f>
        <v>15.037657243558986</v>
      </c>
      <c r="I1020" s="1">
        <f>[1]Residential!E$22-I1022-I1023</f>
        <v>13.08869026421196</v>
      </c>
      <c r="J1020" s="1">
        <f>[1]Residential!F$22-J1022-J1023</f>
        <v>8.9551184055793804</v>
      </c>
      <c r="K1020" s="1">
        <f>[1]Residential!G$22-K1022-K1023</f>
        <v>5.204802327866223</v>
      </c>
    </row>
    <row r="1021" spans="2:11" x14ac:dyDescent="0.35">
      <c r="B1021" s="5" t="str">
        <f t="shared" si="659"/>
        <v>SPS2</v>
      </c>
      <c r="C1021" s="5" t="str">
        <f t="shared" si="644"/>
        <v>CH</v>
      </c>
      <c r="D1021" t="s">
        <v>1024</v>
      </c>
      <c r="E1021" t="s">
        <v>8</v>
      </c>
      <c r="F1021" s="1">
        <f>F1022</f>
        <v>1.0409950939962818</v>
      </c>
      <c r="G1021" s="1">
        <f t="shared" ref="G1021" si="669">G1022</f>
        <v>1.1945307690278</v>
      </c>
      <c r="H1021" s="1">
        <f t="shared" ref="H1021" si="670">H1022</f>
        <v>2.7962365599428951</v>
      </c>
      <c r="I1021" s="1">
        <f t="shared" ref="I1021" si="671">I1022</f>
        <v>2.6746589117234567</v>
      </c>
      <c r="J1021" s="1">
        <f t="shared" ref="J1021" si="672">J1022</f>
        <v>2.2604333418447755</v>
      </c>
      <c r="K1021" s="1">
        <f t="shared" ref="K1021" si="673">K1022</f>
        <v>1.7076099820091282</v>
      </c>
    </row>
    <row r="1022" spans="2:11" x14ac:dyDescent="0.35">
      <c r="B1022" s="5" t="str">
        <f t="shared" si="659"/>
        <v>SPS2</v>
      </c>
      <c r="C1022" s="5" t="str">
        <f t="shared" si="644"/>
        <v>CH</v>
      </c>
      <c r="D1022" t="s">
        <v>767</v>
      </c>
      <c r="E1022" t="s">
        <v>8</v>
      </c>
      <c r="F1022" s="1" cm="1">
        <f t="array" ref="F1022">SUMPRODUCT(([1]OUT_FinalEnergyCons!$B$4:$B$10000="Var_Fin")*1, ISNUMBER(SEARCH("WOD",[1]OUT_FinalEnergyCons!$C$4:$C$10000))*1,(ISNUMBER(SEARCH("RH*-wHWODBR",[1]OUT_FinalEnergyCons!$A$4:$A$10000)))*1,[1]OUT_FinalEnergyCons!D$4:D$10000)</f>
        <v>1.0409950939962818</v>
      </c>
      <c r="G1022" s="1" cm="1">
        <f t="array" ref="G1022">SUMPRODUCT(([1]OUT_FinalEnergyCons!$B$4:$B$10000="Var_Fin")*1, ISNUMBER(SEARCH("WOD",[1]OUT_FinalEnergyCons!$C$4:$C$10000))*1,(ISNUMBER(SEARCH("RH*-wHWODBR",[1]OUT_FinalEnergyCons!$A$4:$A$10000)))*1,[1]OUT_FinalEnergyCons!E$4:E$10000)</f>
        <v>1.1945307690278</v>
      </c>
      <c r="H1022" s="1" cm="1">
        <f t="array" ref="H1022">SUMPRODUCT(([1]OUT_FinalEnergyCons!$B$4:$B$10000="Var_Fin")*1, ISNUMBER(SEARCH("WOD",[1]OUT_FinalEnergyCons!$C$4:$C$10000))*1,(ISNUMBER(SEARCH("RH*-wHWODBR",[1]OUT_FinalEnergyCons!$A$4:$A$10000)))*1,[1]OUT_FinalEnergyCons!F$4:F$10000)</f>
        <v>2.7962365599428951</v>
      </c>
      <c r="I1022" s="1" cm="1">
        <f t="array" ref="I1022">SUMPRODUCT(([1]OUT_FinalEnergyCons!$B$4:$B$10000="Var_Fin")*1, ISNUMBER(SEARCH("WOD",[1]OUT_FinalEnergyCons!$C$4:$C$10000))*1,(ISNUMBER(SEARCH("RH*-wHWODBR",[1]OUT_FinalEnergyCons!$A$4:$A$10000)))*1,[1]OUT_FinalEnergyCons!G$4:G$10000)</f>
        <v>2.6746589117234567</v>
      </c>
      <c r="J1022" s="1" cm="1">
        <f t="array" ref="J1022">SUMPRODUCT(([1]OUT_FinalEnergyCons!$B$4:$B$10000="Var_Fin")*1, ISNUMBER(SEARCH("WOD",[1]OUT_FinalEnergyCons!$C$4:$C$10000))*1,(ISNUMBER(SEARCH("RH*-wHWODBR",[1]OUT_FinalEnergyCons!$A$4:$A$10000)))*1,[1]OUT_FinalEnergyCons!H$4:H$10000)</f>
        <v>2.2604333418447755</v>
      </c>
      <c r="K1022" s="1" cm="1">
        <f t="array" ref="K1022">SUMPRODUCT(([1]OUT_FinalEnergyCons!$B$4:$B$10000="Var_Fin")*1, ISNUMBER(SEARCH("WOD",[1]OUT_FinalEnergyCons!$C$4:$C$10000))*1,(ISNUMBER(SEARCH("RH*-wHWODBR",[1]OUT_FinalEnergyCons!$A$4:$A$10000)))*1,[1]OUT_FinalEnergyCons!I$4:I$10000)</f>
        <v>1.7076099820091282</v>
      </c>
    </row>
    <row r="1023" spans="2:11" x14ac:dyDescent="0.35">
      <c r="B1023" s="5" t="str">
        <f t="shared" si="659"/>
        <v>SPS2</v>
      </c>
      <c r="C1023" s="5" t="str">
        <f t="shared" si="644"/>
        <v>CH</v>
      </c>
      <c r="D1023" t="s">
        <v>1025</v>
      </c>
      <c r="E1023" t="s">
        <v>8</v>
      </c>
      <c r="F1023" s="1">
        <f>F1024+F1026</f>
        <v>3.2683197174434593</v>
      </c>
      <c r="G1023" s="1">
        <f t="shared" ref="G1023:K1023" si="674">G1024+G1026</f>
        <v>3.8320394331420653</v>
      </c>
      <c r="H1023" s="1">
        <f t="shared" si="674"/>
        <v>0.64701805829255565</v>
      </c>
      <c r="I1023" s="1">
        <f t="shared" si="674"/>
        <v>0.79184237534335689</v>
      </c>
      <c r="J1023" s="1">
        <f t="shared" si="674"/>
        <v>0.88642032423480455</v>
      </c>
      <c r="K1023" s="1">
        <f t="shared" si="674"/>
        <v>0.77222217482701794</v>
      </c>
    </row>
    <row r="1024" spans="2:11" x14ac:dyDescent="0.35">
      <c r="B1024" s="5" t="str">
        <f t="shared" si="659"/>
        <v>SPS2</v>
      </c>
      <c r="C1024" s="5" t="str">
        <f t="shared" si="644"/>
        <v>CH</v>
      </c>
      <c r="D1024" t="s">
        <v>1026</v>
      </c>
      <c r="E1024" t="s">
        <v>8</v>
      </c>
      <c r="F1024" s="1">
        <f>F1025</f>
        <v>2.9965937264191966</v>
      </c>
      <c r="G1024" s="1">
        <f t="shared" ref="G1024:K1024" si="675">G1025</f>
        <v>3.5202855674546316</v>
      </c>
      <c r="H1024" s="1">
        <f t="shared" si="675"/>
        <v>0.47689462817048034</v>
      </c>
      <c r="I1024" s="1">
        <f t="shared" si="675"/>
        <v>0.56821489919167345</v>
      </c>
      <c r="J1024" s="1">
        <f t="shared" si="675"/>
        <v>0.6094546605966652</v>
      </c>
      <c r="K1024" s="1">
        <f t="shared" si="675"/>
        <v>0.50245518323959792</v>
      </c>
    </row>
    <row r="1025" spans="2:11" x14ac:dyDescent="0.35">
      <c r="B1025" s="5" t="str">
        <f t="shared" si="659"/>
        <v>SPS2</v>
      </c>
      <c r="C1025" s="5" t="str">
        <f t="shared" si="644"/>
        <v>CH</v>
      </c>
      <c r="D1025" t="s">
        <v>768</v>
      </c>
      <c r="E1025" t="s">
        <v>8</v>
      </c>
      <c r="F1025" s="1" cm="1">
        <f t="array" ref="F1025">SUMPRODUCT(([1]OUT_FinalEnergyCons!$B$4:$B$10000="Var_Fin")*1, ISNUMBER(SEARCH("RPLT",[1]OUT_FinalEnergyCons!$C$4:$C$10000))*1,(ISNUMBER(SEARCH("RH*-SHPLTBR",[1]OUT_FinalEnergyCons!$A$4:$A$10000)))*1,[1]OUT_FinalEnergyCons!D$4:D$10000)</f>
        <v>2.9965937264191966</v>
      </c>
      <c r="G1025" s="1" cm="1">
        <f t="array" ref="G1025">SUMPRODUCT(([1]OUT_FinalEnergyCons!$B$4:$B$10000="Var_Fin")*1, ISNUMBER(SEARCH("RPLT",[1]OUT_FinalEnergyCons!$C$4:$C$10000))*1,(ISNUMBER(SEARCH("RH*-SHPLTBR",[1]OUT_FinalEnergyCons!$A$4:$A$10000)))*1,[1]OUT_FinalEnergyCons!E$4:E$10000)</f>
        <v>3.5202855674546316</v>
      </c>
      <c r="H1025" s="1" cm="1">
        <f t="array" ref="H1025">SUMPRODUCT(([1]OUT_FinalEnergyCons!$B$4:$B$10000="Var_Fin")*1, ISNUMBER(SEARCH("RPLT",[1]OUT_FinalEnergyCons!$C$4:$C$10000))*1,(ISNUMBER(SEARCH("RH*-SHPLTBR",[1]OUT_FinalEnergyCons!$A$4:$A$10000)))*1,[1]OUT_FinalEnergyCons!F$4:F$10000)</f>
        <v>0.47689462817048034</v>
      </c>
      <c r="I1025" s="1" cm="1">
        <f t="array" ref="I1025">SUMPRODUCT(([1]OUT_FinalEnergyCons!$B$4:$B$10000="Var_Fin")*1, ISNUMBER(SEARCH("RPLT",[1]OUT_FinalEnergyCons!$C$4:$C$10000))*1,(ISNUMBER(SEARCH("RH*-SHPLTBR",[1]OUT_FinalEnergyCons!$A$4:$A$10000)))*1,[1]OUT_FinalEnergyCons!G$4:G$10000)</f>
        <v>0.56821489919167345</v>
      </c>
      <c r="J1025" s="1" cm="1">
        <f t="array" ref="J1025">SUMPRODUCT(([1]OUT_FinalEnergyCons!$B$4:$B$10000="Var_Fin")*1, ISNUMBER(SEARCH("RPLT",[1]OUT_FinalEnergyCons!$C$4:$C$10000))*1,(ISNUMBER(SEARCH("RH*-SHPLTBR",[1]OUT_FinalEnergyCons!$A$4:$A$10000)))*1,[1]OUT_FinalEnergyCons!H$4:H$10000)</f>
        <v>0.6094546605966652</v>
      </c>
      <c r="K1025" s="1" cm="1">
        <f t="array" ref="K1025">SUMPRODUCT(([1]OUT_FinalEnergyCons!$B$4:$B$10000="Var_Fin")*1, ISNUMBER(SEARCH("RPLT",[1]OUT_FinalEnergyCons!$C$4:$C$10000))*1,(ISNUMBER(SEARCH("RH*-SHPLTBR",[1]OUT_FinalEnergyCons!$A$4:$A$10000)))*1,[1]OUT_FinalEnergyCons!I$4:I$10000)</f>
        <v>0.50245518323959792</v>
      </c>
    </row>
    <row r="1026" spans="2:11" x14ac:dyDescent="0.35">
      <c r="B1026" s="5" t="str">
        <f t="shared" si="659"/>
        <v>SPS2</v>
      </c>
      <c r="C1026" s="5" t="str">
        <f t="shared" si="644"/>
        <v>CH</v>
      </c>
      <c r="D1026" t="s">
        <v>1027</v>
      </c>
      <c r="E1026" t="s">
        <v>8</v>
      </c>
      <c r="F1026" s="1">
        <f>F1027</f>
        <v>0.2717259910242627</v>
      </c>
      <c r="G1026" s="1">
        <f t="shared" ref="G1026:K1026" si="676">G1027</f>
        <v>0.31175386568743346</v>
      </c>
      <c r="H1026" s="1">
        <f t="shared" si="676"/>
        <v>0.17012343012207534</v>
      </c>
      <c r="I1026" s="1">
        <f t="shared" si="676"/>
        <v>0.22362747615168341</v>
      </c>
      <c r="J1026" s="1">
        <f t="shared" si="676"/>
        <v>0.2769656636381394</v>
      </c>
      <c r="K1026" s="1">
        <f t="shared" si="676"/>
        <v>0.26976699158742001</v>
      </c>
    </row>
    <row r="1027" spans="2:11" x14ac:dyDescent="0.35">
      <c r="B1027" s="5" t="str">
        <f t="shared" si="659"/>
        <v>SPS2</v>
      </c>
      <c r="C1027" s="5" t="str">
        <f t="shared" si="644"/>
        <v>CH</v>
      </c>
      <c r="D1027" t="s">
        <v>769</v>
      </c>
      <c r="E1027" t="s">
        <v>8</v>
      </c>
      <c r="F1027" s="1" cm="1">
        <f t="array" ref="F1027">SUMPRODUCT(([1]OUT_FinalEnergyCons!$B$4:$B$10000="Var_Fin")*1, ISNUMBER(SEARCH("PLT",[1]OUT_FinalEnergyCons!$C$4:$C$10000))*1,(ISNUMBER(SEARCH("RH*-wHPLTBR",[1]OUT_FinalEnergyCons!$A$4:$A$10000)))*1,[1]OUT_FinalEnergyCons!D$4:D$10000)</f>
        <v>0.2717259910242627</v>
      </c>
      <c r="G1027" s="1" cm="1">
        <f t="array" ref="G1027">SUMPRODUCT(([1]OUT_FinalEnergyCons!$B$4:$B$10000="Var_Fin")*1, ISNUMBER(SEARCH("PLT",[1]OUT_FinalEnergyCons!$C$4:$C$10000))*1,(ISNUMBER(SEARCH("RH*-wHPLTBR",[1]OUT_FinalEnergyCons!$A$4:$A$10000)))*1,[1]OUT_FinalEnergyCons!E$4:E$10000)</f>
        <v>0.31175386568743346</v>
      </c>
      <c r="H1027" s="1" cm="1">
        <f t="array" ref="H1027">SUMPRODUCT(([1]OUT_FinalEnergyCons!$B$4:$B$10000="Var_Fin")*1, ISNUMBER(SEARCH("PLT",[1]OUT_FinalEnergyCons!$C$4:$C$10000))*1,(ISNUMBER(SEARCH("RH*-wHPLTBR",[1]OUT_FinalEnergyCons!$A$4:$A$10000)))*1,[1]OUT_FinalEnergyCons!F$4:F$10000)</f>
        <v>0.17012343012207534</v>
      </c>
      <c r="I1027" s="1" cm="1">
        <f t="array" ref="I1027">SUMPRODUCT(([1]OUT_FinalEnergyCons!$B$4:$B$10000="Var_Fin")*1, ISNUMBER(SEARCH("PLT",[1]OUT_FinalEnergyCons!$C$4:$C$10000))*1,(ISNUMBER(SEARCH("RH*-wHPLTBR",[1]OUT_FinalEnergyCons!$A$4:$A$10000)))*1,[1]OUT_FinalEnergyCons!G$4:G$10000)</f>
        <v>0.22362747615168341</v>
      </c>
      <c r="J1027" s="1" cm="1">
        <f t="array" ref="J1027">SUMPRODUCT(([1]OUT_FinalEnergyCons!$B$4:$B$10000="Var_Fin")*1, ISNUMBER(SEARCH("PLT",[1]OUT_FinalEnergyCons!$C$4:$C$10000))*1,(ISNUMBER(SEARCH("RH*-wHPLTBR",[1]OUT_FinalEnergyCons!$A$4:$A$10000)))*1,[1]OUT_FinalEnergyCons!H$4:H$10000)</f>
        <v>0.2769656636381394</v>
      </c>
      <c r="K1027" s="1" cm="1">
        <f t="array" ref="K1027">SUMPRODUCT(([1]OUT_FinalEnergyCons!$B$4:$B$10000="Var_Fin")*1, ISNUMBER(SEARCH("PLT",[1]OUT_FinalEnergyCons!$C$4:$C$10000))*1,(ISNUMBER(SEARCH("RH*-wHPLTBR",[1]OUT_FinalEnergyCons!$A$4:$A$10000)))*1,[1]OUT_FinalEnergyCons!I$4:I$10000)</f>
        <v>0.26976699158742001</v>
      </c>
    </row>
    <row r="1028" spans="2:11" x14ac:dyDescent="0.35">
      <c r="B1028" s="5" t="str">
        <f t="shared" si="659"/>
        <v>SPS2</v>
      </c>
      <c r="C1028" s="5" t="str">
        <f t="shared" si="644"/>
        <v>CH</v>
      </c>
      <c r="D1028" t="s">
        <v>1028</v>
      </c>
      <c r="E1028" t="s">
        <v>8</v>
      </c>
      <c r="F1028" s="1">
        <f>[1]Residential!B$23</f>
        <v>2.5068506652632339</v>
      </c>
      <c r="G1028" s="1">
        <f>[1]Residential!C$23</f>
        <v>2.9282299219216261</v>
      </c>
      <c r="H1028" s="1">
        <f>[1]Residential!D$23</f>
        <v>0.96261824349488545</v>
      </c>
      <c r="I1028" s="1">
        <f>[1]Residential!E$23</f>
        <v>1.0961730971889703</v>
      </c>
      <c r="J1028" s="1">
        <f>[1]Residential!F$23</f>
        <v>1.2527841491354947</v>
      </c>
      <c r="K1028" s="1">
        <f>[1]Residential!G$23</f>
        <v>1.2574520759412438</v>
      </c>
    </row>
    <row r="1029" spans="2:11" x14ac:dyDescent="0.35">
      <c r="B1029" s="5" t="str">
        <f t="shared" si="659"/>
        <v>SPS2</v>
      </c>
      <c r="C1029" s="5" t="str">
        <f t="shared" si="644"/>
        <v>CH</v>
      </c>
      <c r="D1029" t="s">
        <v>1029</v>
      </c>
      <c r="E1029" t="s">
        <v>8</v>
      </c>
      <c r="F1029" s="1">
        <f>F1030</f>
        <v>0.78536264060338268</v>
      </c>
      <c r="G1029" s="1">
        <f t="shared" ref="G1029:K1029" si="677">G1030</f>
        <v>0.94141784725438427</v>
      </c>
      <c r="H1029" s="1">
        <f t="shared" si="677"/>
        <v>3.14478747084702E-2</v>
      </c>
      <c r="I1029" s="1">
        <f t="shared" si="677"/>
        <v>3.4855447355420385E-2</v>
      </c>
      <c r="J1029" s="1">
        <f t="shared" si="677"/>
        <v>3.3265554448667745E-2</v>
      </c>
      <c r="K1029" s="1">
        <f t="shared" si="677"/>
        <v>2.9714761933524195E-2</v>
      </c>
    </row>
    <row r="1030" spans="2:11" x14ac:dyDescent="0.35">
      <c r="B1030" s="5" t="str">
        <f t="shared" si="659"/>
        <v>SPS2</v>
      </c>
      <c r="C1030" s="5" t="str">
        <f t="shared" si="644"/>
        <v>CH</v>
      </c>
      <c r="D1030" t="s">
        <v>742</v>
      </c>
      <c r="E1030" t="s">
        <v>8</v>
      </c>
      <c r="F1030" s="1" cm="1">
        <f t="array" ref="F1030">SUMPRODUCT(([1]OUT_FinalEnergyCons!$B$4:$B$10000="Var_Fin")*1, ("SOL"=[1]OUT_FinalEnergyCons!$C$4:$C$10000)*1,(ISNUMBER(SEARCH("RH*-SHSOLBR",[1]OUT_FinalEnergyCons!$A$4:$A$10000)))*1,[1]OUT_FinalEnergyCons!D$4:D$10000)</f>
        <v>0.78536264060338268</v>
      </c>
      <c r="G1030" s="1" cm="1">
        <f t="array" ref="G1030">SUMPRODUCT(([1]OUT_FinalEnergyCons!$B$4:$B$10000="Var_Fin")*1, ("SOL"=[1]OUT_FinalEnergyCons!$C$4:$C$10000)*1,(ISNUMBER(SEARCH("RH*-SHSOLBR",[1]OUT_FinalEnergyCons!$A$4:$A$10000)))*1,[1]OUT_FinalEnergyCons!E$4:E$10000)</f>
        <v>0.94141784725438427</v>
      </c>
      <c r="H1030" s="1" cm="1">
        <f t="array" ref="H1030">SUMPRODUCT(([1]OUT_FinalEnergyCons!$B$4:$B$10000="Var_Fin")*1, ("SOL"=[1]OUT_FinalEnergyCons!$C$4:$C$10000)*1,(ISNUMBER(SEARCH("RH*-SHSOLBR",[1]OUT_FinalEnergyCons!$A$4:$A$10000)))*1,[1]OUT_FinalEnergyCons!F$4:F$10000)</f>
        <v>3.14478747084702E-2</v>
      </c>
      <c r="I1030" s="1" cm="1">
        <f t="array" ref="I1030">SUMPRODUCT(([1]OUT_FinalEnergyCons!$B$4:$B$10000="Var_Fin")*1, ("SOL"=[1]OUT_FinalEnergyCons!$C$4:$C$10000)*1,(ISNUMBER(SEARCH("RH*-SHSOLBR",[1]OUT_FinalEnergyCons!$A$4:$A$10000)))*1,[1]OUT_FinalEnergyCons!G$4:G$10000)</f>
        <v>3.4855447355420385E-2</v>
      </c>
      <c r="J1030" s="1" cm="1">
        <f t="array" ref="J1030">SUMPRODUCT(([1]OUT_FinalEnergyCons!$B$4:$B$10000="Var_Fin")*1, ("SOL"=[1]OUT_FinalEnergyCons!$C$4:$C$10000)*1,(ISNUMBER(SEARCH("RH*-SHSOLBR",[1]OUT_FinalEnergyCons!$A$4:$A$10000)))*1,[1]OUT_FinalEnergyCons!H$4:H$10000)</f>
        <v>3.3265554448667745E-2</v>
      </c>
      <c r="K1030" s="1" cm="1">
        <f t="array" ref="K1030">SUMPRODUCT(([1]OUT_FinalEnergyCons!$B$4:$B$10000="Var_Fin")*1, ("SOL"=[1]OUT_FinalEnergyCons!$C$4:$C$10000)*1,(ISNUMBER(SEARCH("RH*-SHSOLBR",[1]OUT_FinalEnergyCons!$A$4:$A$10000)))*1,[1]OUT_FinalEnergyCons!I$4:I$10000)</f>
        <v>2.9714761933524195E-2</v>
      </c>
    </row>
    <row r="1031" spans="2:11" x14ac:dyDescent="0.35">
      <c r="B1031" s="5" t="str">
        <f t="shared" si="659"/>
        <v>SPS2</v>
      </c>
      <c r="C1031" s="5" t="str">
        <f t="shared" si="644"/>
        <v>CH</v>
      </c>
      <c r="D1031" t="s">
        <v>1030</v>
      </c>
      <c r="E1031" t="s">
        <v>8</v>
      </c>
      <c r="F1031" s="1">
        <f>F1028-F1029</f>
        <v>1.7214880246598512</v>
      </c>
      <c r="G1031" s="1">
        <f t="shared" ref="G1031:K1031" si="678">G1028-G1029</f>
        <v>1.9868120746672417</v>
      </c>
      <c r="H1031" s="1">
        <f t="shared" si="678"/>
        <v>0.93117036878641524</v>
      </c>
      <c r="I1031" s="1">
        <f t="shared" si="678"/>
        <v>1.0613176498335499</v>
      </c>
      <c r="J1031" s="1">
        <f t="shared" si="678"/>
        <v>1.219518594686827</v>
      </c>
      <c r="K1031" s="1">
        <f t="shared" si="678"/>
        <v>1.2277373140077195</v>
      </c>
    </row>
    <row r="1032" spans="2:11" x14ac:dyDescent="0.35">
      <c r="B1032" s="5" t="str">
        <f t="shared" si="659"/>
        <v>SPS2</v>
      </c>
      <c r="C1032" s="5" t="str">
        <f t="shared" si="644"/>
        <v>CH</v>
      </c>
      <c r="D1032" t="s">
        <v>743</v>
      </c>
      <c r="E1032" t="s">
        <v>8</v>
      </c>
      <c r="F1032" s="1">
        <f>F1031</f>
        <v>1.7214880246598512</v>
      </c>
      <c r="G1032" s="1">
        <f t="shared" ref="G1032:K1032" si="679">G1031</f>
        <v>1.9868120746672417</v>
      </c>
      <c r="H1032" s="1">
        <f t="shared" si="679"/>
        <v>0.93117036878641524</v>
      </c>
      <c r="I1032" s="1">
        <f t="shared" si="679"/>
        <v>1.0613176498335499</v>
      </c>
      <c r="J1032" s="1">
        <f t="shared" si="679"/>
        <v>1.219518594686827</v>
      </c>
      <c r="K1032" s="1">
        <f t="shared" si="679"/>
        <v>1.2277373140077195</v>
      </c>
    </row>
    <row r="1033" spans="2:11" x14ac:dyDescent="0.35">
      <c r="B1033" s="5" t="str">
        <f t="shared" si="659"/>
        <v>SPS2</v>
      </c>
      <c r="C1033" s="5" t="str">
        <f t="shared" si="644"/>
        <v>CH</v>
      </c>
      <c r="D1033" t="s">
        <v>1031</v>
      </c>
      <c r="E1033" t="s">
        <v>8</v>
      </c>
      <c r="F1033" s="1">
        <f>[1]Residential!B$24</f>
        <v>0</v>
      </c>
      <c r="G1033" s="1">
        <f>[1]Residential!C$24</f>
        <v>0</v>
      </c>
      <c r="H1033" s="1">
        <f>[1]Residential!D$24</f>
        <v>0</v>
      </c>
      <c r="I1033" s="1">
        <f>[1]Residential!E$24</f>
        <v>1.3779560274559953E-2</v>
      </c>
      <c r="J1033" s="1">
        <f>[1]Residential!F$24</f>
        <v>3.5227841949034396E-2</v>
      </c>
      <c r="K1033" s="1">
        <f>[1]Residential!G$24</f>
        <v>5.0682911209071445E-3</v>
      </c>
    </row>
    <row r="1034" spans="2:11" x14ac:dyDescent="0.35">
      <c r="B1034" s="5" t="str">
        <f t="shared" si="659"/>
        <v>SPS2</v>
      </c>
      <c r="C1034" s="5" t="str">
        <f t="shared" si="644"/>
        <v>CH</v>
      </c>
      <c r="D1034" t="s">
        <v>745</v>
      </c>
      <c r="E1034" t="str">
        <f>E1033</f>
        <v>PJ/yr.</v>
      </c>
      <c r="F1034" s="1">
        <f>F1033-F1036-F1038</f>
        <v>0</v>
      </c>
      <c r="G1034" s="1">
        <f t="shared" ref="G1034:K1034" si="680">G1033-G1036-G1038</f>
        <v>0</v>
      </c>
      <c r="H1034" s="1">
        <f t="shared" si="680"/>
        <v>0</v>
      </c>
      <c r="I1034" s="1">
        <f t="shared" si="680"/>
        <v>1.3779560274559953E-2</v>
      </c>
      <c r="J1034" s="1">
        <f t="shared" si="680"/>
        <v>3.5227841949034396E-2</v>
      </c>
      <c r="K1034" s="1">
        <f t="shared" si="680"/>
        <v>5.0682911209071445E-3</v>
      </c>
    </row>
    <row r="1035" spans="2:11" x14ac:dyDescent="0.35">
      <c r="B1035" s="5" t="str">
        <f t="shared" si="659"/>
        <v>SPS2</v>
      </c>
      <c r="C1035" s="5" t="str">
        <f t="shared" si="644"/>
        <v>CH</v>
      </c>
      <c r="D1035" t="s">
        <v>744</v>
      </c>
      <c r="E1035" t="str">
        <f>E1034</f>
        <v>PJ/yr.</v>
      </c>
      <c r="F1035" s="1">
        <f>F1036+F1038</f>
        <v>0</v>
      </c>
      <c r="G1035" s="1">
        <f t="shared" ref="G1035:K1035" si="681">G1036+G1038</f>
        <v>0</v>
      </c>
      <c r="H1035" s="1">
        <f t="shared" si="681"/>
        <v>0</v>
      </c>
      <c r="I1035" s="1">
        <f t="shared" si="681"/>
        <v>0</v>
      </c>
      <c r="J1035" s="1">
        <f t="shared" si="681"/>
        <v>0</v>
      </c>
      <c r="K1035" s="1">
        <f t="shared" si="681"/>
        <v>0</v>
      </c>
    </row>
    <row r="1036" spans="2:11" x14ac:dyDescent="0.35">
      <c r="B1036" s="5" t="str">
        <f t="shared" si="659"/>
        <v>SPS2</v>
      </c>
      <c r="C1036" s="5" t="str">
        <f>C1033</f>
        <v>CH</v>
      </c>
      <c r="D1036" t="s">
        <v>1033</v>
      </c>
      <c r="E1036" t="s">
        <v>8</v>
      </c>
      <c r="F1036" s="1">
        <f>F1037</f>
        <v>0</v>
      </c>
      <c r="G1036" s="1">
        <f t="shared" ref="G1036:K1036" si="682">G1037</f>
        <v>0</v>
      </c>
      <c r="H1036" s="1">
        <f t="shared" si="682"/>
        <v>0</v>
      </c>
      <c r="I1036" s="1">
        <f t="shared" si="682"/>
        <v>0</v>
      </c>
      <c r="J1036" s="1">
        <f t="shared" si="682"/>
        <v>0</v>
      </c>
      <c r="K1036" s="1">
        <f t="shared" si="682"/>
        <v>0</v>
      </c>
    </row>
    <row r="1037" spans="2:11" x14ac:dyDescent="0.35">
      <c r="B1037" s="5" t="str">
        <f t="shared" si="659"/>
        <v>SPS2</v>
      </c>
      <c r="C1037" s="5" t="str">
        <f t="shared" si="644"/>
        <v>CH</v>
      </c>
      <c r="D1037" t="s">
        <v>1032</v>
      </c>
      <c r="E1037" t="s">
        <v>8</v>
      </c>
      <c r="F1037" s="1" cm="1">
        <f t="array" ref="F1037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7" s="1" cm="1">
        <f t="array" ref="G1037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7" s="1" cm="1">
        <f t="array" ref="H1037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7" s="1" cm="1">
        <f t="array" ref="I1037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7" s="1" cm="1">
        <f t="array" ref="J1037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7" s="1" cm="1">
        <f t="array" ref="K1037">SUMPRODUCT(([1]OUT_FinalEnergyCons!$B$4:$B$10000="Var_Fin")*1, ISNUMBER(SEARCH("RSH2",[1]OUT_FinalEnergyCons!$C$4:$C$10000))*1,(ISNUMBER(SEARCH("RH*-SHH2BR",[1]OUT_FinalEnergyCons!$A$4:$A$10000)))*1,[1]OUT_FinalEnergyCons!I$4:I$10000)</f>
        <v>0</v>
      </c>
    </row>
    <row r="1038" spans="2:11" x14ac:dyDescent="0.35">
      <c r="B1038" s="5" t="str">
        <f t="shared" si="659"/>
        <v>SPS2</v>
      </c>
      <c r="C1038" s="5" t="str">
        <f t="shared" si="644"/>
        <v>CH</v>
      </c>
      <c r="D1038" t="s">
        <v>1034</v>
      </c>
      <c r="E1038" t="s">
        <v>8</v>
      </c>
      <c r="F1038" s="1">
        <f>F1039</f>
        <v>0</v>
      </c>
      <c r="G1038" s="1">
        <f t="shared" ref="G1038:K1038" si="683">G1039</f>
        <v>0</v>
      </c>
      <c r="H1038" s="1">
        <f t="shared" si="683"/>
        <v>0</v>
      </c>
      <c r="I1038" s="1">
        <f t="shared" si="683"/>
        <v>0</v>
      </c>
      <c r="J1038" s="1">
        <f t="shared" si="683"/>
        <v>0</v>
      </c>
      <c r="K1038" s="1">
        <f t="shared" si="683"/>
        <v>0</v>
      </c>
    </row>
    <row r="1039" spans="2:11" x14ac:dyDescent="0.35">
      <c r="B1039" s="5" t="str">
        <f t="shared" si="659"/>
        <v>SPS2</v>
      </c>
      <c r="C1039" s="5" t="str">
        <f t="shared" si="644"/>
        <v>CH</v>
      </c>
      <c r="D1039" t="s">
        <v>748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ISNUMBER(SEARCH("RSH2",[1]OUT_FinalEnergyCons!$C$4:$C$10000))*1,(ISNUMBER(SEARCH("RH*-wHH2BR",[1]OUT_FinalEnergyCons!$A$4:$A$10000)))*1,[1]OUT_FinalEnergyCons!I$4:I$10000)</f>
        <v>0</v>
      </c>
    </row>
    <row r="1040" spans="2:11" x14ac:dyDescent="0.35">
      <c r="B1040" s="5" t="str">
        <f t="shared" si="659"/>
        <v>SPS2</v>
      </c>
      <c r="C1040" s="5" t="str">
        <f t="shared" si="644"/>
        <v>CH</v>
      </c>
      <c r="D1040" t="s">
        <v>1035</v>
      </c>
      <c r="E1040" t="s">
        <v>8</v>
      </c>
      <c r="F1040" s="1">
        <f>[1]Residential!B$21</f>
        <v>8.368318849190981</v>
      </c>
      <c r="G1040" s="1">
        <f>[1]Residential!C$21</f>
        <v>9.6897753104578292</v>
      </c>
      <c r="H1040" s="1">
        <f>[1]Residential!D$21</f>
        <v>8.3664787117531461</v>
      </c>
      <c r="I1040" s="1">
        <f>[1]Residential!E$21</f>
        <v>11.028243793367974</v>
      </c>
      <c r="J1040" s="1">
        <f>[1]Residential!F$21</f>
        <v>12.83997264548146</v>
      </c>
      <c r="K1040" s="1">
        <f>[1]Residential!G$21</f>
        <v>12.533804809548286</v>
      </c>
    </row>
    <row r="1041" spans="2:13" x14ac:dyDescent="0.35">
      <c r="B1041" s="5" t="str">
        <f t="shared" si="659"/>
        <v>SPS2</v>
      </c>
      <c r="C1041" s="5" t="str">
        <f t="shared" si="644"/>
        <v>CH</v>
      </c>
      <c r="D1041" t="s">
        <v>1036</v>
      </c>
      <c r="E1041" t="s">
        <v>8</v>
      </c>
      <c r="F1041" s="1">
        <f>SUM(F1042:F1044)</f>
        <v>0.17018308725852174</v>
      </c>
      <c r="G1041" s="1">
        <f t="shared" ref="G1041:K1041" si="684">SUM(G1042:G1044)</f>
        <v>3.5784439040398179E-2</v>
      </c>
      <c r="H1041" s="1">
        <f t="shared" si="684"/>
        <v>0.1218036642290327</v>
      </c>
      <c r="I1041" s="1">
        <f t="shared" si="684"/>
        <v>5.7487970078091519E-2</v>
      </c>
      <c r="J1041" s="1">
        <f t="shared" si="684"/>
        <v>0.41262483523521554</v>
      </c>
      <c r="K1041" s="1">
        <f t="shared" si="684"/>
        <v>7.7796337498930071E-2</v>
      </c>
    </row>
    <row r="1042" spans="2:13" x14ac:dyDescent="0.35">
      <c r="B1042" s="5" t="str">
        <f t="shared" si="659"/>
        <v>SPS2</v>
      </c>
      <c r="C1042" s="5" t="str">
        <f t="shared" si="644"/>
        <v>CH</v>
      </c>
      <c r="D1042" t="s">
        <v>749</v>
      </c>
      <c r="E1042" t="s">
        <v>8</v>
      </c>
      <c r="F1042" s="1">
        <f t="shared" ref="F1042:K1043" si="685">SUM(F242,F244)</f>
        <v>0.16568148463244808</v>
      </c>
      <c r="G1042" s="1">
        <f t="shared" si="685"/>
        <v>3.2507125110938305E-2</v>
      </c>
      <c r="H1042" s="1">
        <f t="shared" si="685"/>
        <v>0.11996438870105783</v>
      </c>
      <c r="I1042" s="1">
        <f t="shared" si="685"/>
        <v>3.0854728027070157E-2</v>
      </c>
      <c r="J1042" s="1">
        <f t="shared" si="685"/>
        <v>4.3182435308609685E-2</v>
      </c>
      <c r="K1042" s="1">
        <f t="shared" si="685"/>
        <v>2.9285125218028807E-3</v>
      </c>
    </row>
    <row r="1043" spans="2:13" x14ac:dyDescent="0.35">
      <c r="B1043" s="5" t="str">
        <f t="shared" si="659"/>
        <v>SPS2</v>
      </c>
      <c r="C1043" s="5" t="str">
        <f t="shared" si="644"/>
        <v>CH</v>
      </c>
      <c r="D1043" t="s">
        <v>750</v>
      </c>
      <c r="E1043" t="s">
        <v>8</v>
      </c>
      <c r="F1043" s="1">
        <f t="shared" si="685"/>
        <v>0</v>
      </c>
      <c r="G1043" s="1">
        <f t="shared" si="685"/>
        <v>0</v>
      </c>
      <c r="H1043" s="1">
        <f t="shared" si="685"/>
        <v>0</v>
      </c>
      <c r="I1043" s="1">
        <f t="shared" si="685"/>
        <v>0</v>
      </c>
      <c r="J1043" s="1">
        <f t="shared" si="685"/>
        <v>0</v>
      </c>
      <c r="K1043" s="1">
        <f t="shared" si="685"/>
        <v>0</v>
      </c>
    </row>
    <row r="1044" spans="2:13" x14ac:dyDescent="0.35">
      <c r="B1044" s="5" t="str">
        <f t="shared" si="659"/>
        <v>SPS2</v>
      </c>
      <c r="C1044" s="5" t="str">
        <f t="shared" si="644"/>
        <v>CH</v>
      </c>
      <c r="D1044" t="s">
        <v>751</v>
      </c>
      <c r="E1044" t="s">
        <v>8</v>
      </c>
      <c r="F1044" s="1">
        <f t="shared" ref="F1044:K1044" si="686">SUM(F283,F284)</f>
        <v>4.5016026260736603E-3</v>
      </c>
      <c r="G1044" s="1">
        <f t="shared" si="686"/>
        <v>3.2773139294598741E-3</v>
      </c>
      <c r="H1044" s="1">
        <f t="shared" si="686"/>
        <v>1.8392755279748791E-3</v>
      </c>
      <c r="I1044" s="1">
        <f t="shared" si="686"/>
        <v>2.6633242051021366E-2</v>
      </c>
      <c r="J1044" s="1">
        <f t="shared" si="686"/>
        <v>0.36944239992660588</v>
      </c>
      <c r="K1044" s="1">
        <f t="shared" si="686"/>
        <v>7.4867824977127184E-2</v>
      </c>
    </row>
    <row r="1045" spans="2:13" x14ac:dyDescent="0.35">
      <c r="B1045" s="5" t="str">
        <f t="shared" si="659"/>
        <v>SPS2</v>
      </c>
      <c r="C1045" s="5" t="str">
        <f t="shared" si="644"/>
        <v>CH</v>
      </c>
      <c r="D1045" t="s">
        <v>1037</v>
      </c>
      <c r="E1045" t="s">
        <v>8</v>
      </c>
      <c r="F1045" s="1">
        <f>F1040-F1041</f>
        <v>8.1981357619324591</v>
      </c>
      <c r="G1045" s="1">
        <f t="shared" ref="G1045:K1045" si="687">G1040-G1041</f>
        <v>9.653990871417431</v>
      </c>
      <c r="H1045" s="1">
        <f t="shared" si="687"/>
        <v>8.2446750475241135</v>
      </c>
      <c r="I1045" s="1">
        <f t="shared" si="687"/>
        <v>10.970755823289883</v>
      </c>
      <c r="J1045" s="1">
        <f t="shared" si="687"/>
        <v>12.427347810246244</v>
      </c>
      <c r="K1045" s="1">
        <f t="shared" si="687"/>
        <v>12.456008472049357</v>
      </c>
    </row>
    <row r="1046" spans="2:13" x14ac:dyDescent="0.35">
      <c r="B1046" s="5" t="str">
        <f t="shared" si="659"/>
        <v>SPS2</v>
      </c>
      <c r="C1046" s="5" t="str">
        <f t="shared" si="644"/>
        <v>CH</v>
      </c>
      <c r="D1046" t="s">
        <v>1038</v>
      </c>
      <c r="E1046" t="s">
        <v>8</v>
      </c>
      <c r="F1046" s="1">
        <f>[1]Residential!B$25</f>
        <v>15.195126313433748</v>
      </c>
      <c r="G1046" s="1">
        <f>[1]Residential!C$25</f>
        <v>17.637485756201272</v>
      </c>
      <c r="H1046" s="1">
        <f>[1]Residential!D$25</f>
        <v>26.446668329702273</v>
      </c>
      <c r="I1046" s="1">
        <f>[1]Residential!E$25</f>
        <v>41.290570712736042</v>
      </c>
      <c r="J1046" s="1">
        <f>[1]Residential!F$25</f>
        <v>60.191491520868318</v>
      </c>
      <c r="K1046" s="1">
        <f>[1]Residential!G$25</f>
        <v>64.596345718852291</v>
      </c>
    </row>
    <row r="1047" spans="2:13" x14ac:dyDescent="0.35">
      <c r="B1047" s="5" t="str">
        <f t="shared" si="659"/>
        <v>SPS2</v>
      </c>
      <c r="C1047" s="5" t="str">
        <f t="shared" si="644"/>
        <v>CH</v>
      </c>
      <c r="D1047" t="s">
        <v>1039</v>
      </c>
      <c r="E1047" t="s">
        <v>8</v>
      </c>
      <c r="F1047" s="1">
        <f>F1046-F1050</f>
        <v>13.104081859405547</v>
      </c>
      <c r="G1047" s="1">
        <f t="shared" ref="G1047:K1047" si="688">G1046-G1050</f>
        <v>15.288425346179473</v>
      </c>
      <c r="H1047" s="1">
        <f t="shared" si="688"/>
        <v>23.58923861801583</v>
      </c>
      <c r="I1047" s="1">
        <f t="shared" si="688"/>
        <v>35.534109945130162</v>
      </c>
      <c r="J1047" s="1">
        <f t="shared" si="688"/>
        <v>49.268422899480314</v>
      </c>
      <c r="K1047" s="1">
        <f t="shared" si="688"/>
        <v>50.562975035259058</v>
      </c>
      <c r="M1047" s="1"/>
    </row>
    <row r="1048" spans="2:13" x14ac:dyDescent="0.35">
      <c r="B1048" s="5" t="str">
        <f t="shared" si="659"/>
        <v>SPS2</v>
      </c>
      <c r="C1048" s="5" t="str">
        <f t="shared" si="644"/>
        <v>CH</v>
      </c>
      <c r="D1048" t="s">
        <v>752</v>
      </c>
      <c r="E1048" t="s">
        <v>8</v>
      </c>
      <c r="F1048" s="1">
        <f>F1047-F1049</f>
        <v>13.104081859405547</v>
      </c>
      <c r="G1048" s="1">
        <f t="shared" ref="G1048:K1048" si="689">G1047-G1049</f>
        <v>15.288425346179473</v>
      </c>
      <c r="H1048" s="1">
        <f t="shared" si="689"/>
        <v>21.159044207540049</v>
      </c>
      <c r="I1048" s="1">
        <f t="shared" si="689"/>
        <v>28.704438635851176</v>
      </c>
      <c r="J1048" s="1">
        <f t="shared" si="689"/>
        <v>38.755957909301323</v>
      </c>
      <c r="K1048" s="1">
        <f t="shared" si="689"/>
        <v>40.234985154255334</v>
      </c>
    </row>
    <row r="1049" spans="2:13" x14ac:dyDescent="0.35">
      <c r="B1049" s="5" t="str">
        <f t="shared" si="659"/>
        <v>SPS2</v>
      </c>
      <c r="C1049" s="5" t="str">
        <f t="shared" si="644"/>
        <v>CH</v>
      </c>
      <c r="D1049" t="s">
        <v>753</v>
      </c>
      <c r="E1049" t="s">
        <v>8</v>
      </c>
      <c r="F1049" s="1" cm="1">
        <f t="array" ref="F1049">SUMPRODUCT(([1]OUT_FinalEnergyCons!$B$4:$B$10000="Var_FOut")*1, ISNUMBER(SEARCH("RH*SHANGAH",[1]OUT_FinalEnergyCons!$C$4:$C$10000))*1,ISNUMBER(SEARCH("RH*-SHngahp",[1]OUT_FinalEnergyCons!$A$4:$A$10000))*1,[1]OUT_FinalEnergyCons!D$4:D$10000)-F997</f>
        <v>0</v>
      </c>
      <c r="G1049" s="1" cm="1">
        <f t="array" ref="G1049">SUMPRODUCT(([1]OUT_FinalEnergyCons!$B$4:$B$10000="Var_FOut")*1, ISNUMBER(SEARCH("RH*SHANGAH",[1]OUT_FinalEnergyCons!$C$4:$C$10000))*1,ISNUMBER(SEARCH("RH*-SHngahp",[1]OUT_FinalEnergyCons!$A$4:$A$10000))*1,[1]OUT_FinalEnergyCons!E$4:E$10000)-G997</f>
        <v>0</v>
      </c>
      <c r="H1049" s="1" cm="1">
        <f t="array" ref="H1049">SUMPRODUCT(([1]OUT_FinalEnergyCons!$B$4:$B$10000="Var_FOut")*1, ISNUMBER(SEARCH("RH*SHANGAH",[1]OUT_FinalEnergyCons!$C$4:$C$10000))*1,ISNUMBER(SEARCH("RH*-SHngahp",[1]OUT_FinalEnergyCons!$A$4:$A$10000))*1,[1]OUT_FinalEnergyCons!F$4:F$10000)-H997</f>
        <v>2.430194410475782</v>
      </c>
      <c r="I1049" s="1" cm="1">
        <f t="array" ref="I1049">SUMPRODUCT(([1]OUT_FinalEnergyCons!$B$4:$B$10000="Var_FOut")*1, ISNUMBER(SEARCH("RH*SHANGAH",[1]OUT_FinalEnergyCons!$C$4:$C$10000))*1,ISNUMBER(SEARCH("RH*-SHngahp",[1]OUT_FinalEnergyCons!$A$4:$A$10000))*1,[1]OUT_FinalEnergyCons!G$4:G$10000)-I997</f>
        <v>6.829671309278984</v>
      </c>
      <c r="J1049" s="1" cm="1">
        <f t="array" ref="J1049">SUMPRODUCT(([1]OUT_FinalEnergyCons!$B$4:$B$10000="Var_FOut")*1, ISNUMBER(SEARCH("RH*SHANGAH",[1]OUT_FinalEnergyCons!$C$4:$C$10000))*1,ISNUMBER(SEARCH("RH*-SHngahp",[1]OUT_FinalEnergyCons!$A$4:$A$10000))*1,[1]OUT_FinalEnergyCons!H$4:H$10000)-J997</f>
        <v>10.512464990178991</v>
      </c>
      <c r="K1049" s="1" cm="1">
        <f t="array" ref="K1049">SUMPRODUCT(([1]OUT_FinalEnergyCons!$B$4:$B$10000="Var_FOut")*1, ISNUMBER(SEARCH("RH*SHANGAH",[1]OUT_FinalEnergyCons!$C$4:$C$10000))*1,ISNUMBER(SEARCH("RH*-SHngahp",[1]OUT_FinalEnergyCons!$A$4:$A$10000))*1,[1]OUT_FinalEnergyCons!I$4:I$10000)-K997</f>
        <v>10.327989881003726</v>
      </c>
      <c r="M1049" s="20"/>
    </row>
    <row r="1050" spans="2:13" x14ac:dyDescent="0.35">
      <c r="B1050" s="5" t="str">
        <f t="shared" si="659"/>
        <v>SPS2</v>
      </c>
      <c r="C1050" s="5" t="str">
        <f t="shared" si="644"/>
        <v>CH</v>
      </c>
      <c r="D1050" t="s">
        <v>1040</v>
      </c>
      <c r="E1050" t="s">
        <v>8</v>
      </c>
      <c r="F1050" s="1">
        <f>SUM(F1051:F1052)</f>
        <v>2.0910444540282018</v>
      </c>
      <c r="G1050" s="1">
        <f t="shared" ref="G1050:K1050" si="690">SUM(G1051:G1052)</f>
        <v>2.3490604100217993</v>
      </c>
      <c r="H1050" s="1">
        <f t="shared" si="690"/>
        <v>2.8574297116864442</v>
      </c>
      <c r="I1050" s="1">
        <f t="shared" si="690"/>
        <v>5.7564607676058799</v>
      </c>
      <c r="J1050" s="1">
        <f t="shared" si="690"/>
        <v>10.923068621388008</v>
      </c>
      <c r="K1050" s="1">
        <f t="shared" si="690"/>
        <v>14.033370683593233</v>
      </c>
    </row>
    <row r="1051" spans="2:13" x14ac:dyDescent="0.35">
      <c r="B1051" s="5" t="str">
        <f t="shared" si="659"/>
        <v>SPS2</v>
      </c>
      <c r="C1051" s="5" t="str">
        <f t="shared" si="644"/>
        <v>CH</v>
      </c>
      <c r="D1051" t="s">
        <v>754</v>
      </c>
      <c r="E1051" t="s">
        <v>8</v>
      </c>
      <c r="F1051" s="1" cm="1">
        <f t="array" ref="F1051">SUMPRODUCT(([1]OUT_FinalEnergyCons!$B$4:$B$10000="Var_FOut")*1, ISNUMBER(SEARCH("RHSA-WHAELCH",[1]OUT_FinalEnergyCons!$C$4:$C$10000))*1,(ISNUMBER(SEARCH("RHSA-WHELCHP",[1]OUT_FinalEnergyCons!$A$4:$A$10000)))*1,[1]OUT_FinalEnergyCons!D$4:D$10000)-F977</f>
        <v>2.0910444540282018</v>
      </c>
      <c r="G1051" s="1" cm="1">
        <f t="array" ref="G1051">SUMPRODUCT(([1]OUT_FinalEnergyCons!$B$4:$B$10000="Var_FOut")*1, ISNUMBER(SEARCH("RHSA-WHAELCH",[1]OUT_FinalEnergyCons!$C$4:$C$10000))*1,(ISNUMBER(SEARCH("RHSA-WHELCHP",[1]OUT_FinalEnergyCons!$A$4:$A$10000)))*1,[1]OUT_FinalEnergyCons!E$4:E$10000)-G977</f>
        <v>2.3490604100217993</v>
      </c>
      <c r="H1051" s="1" cm="1">
        <f t="array" ref="H1051">SUMPRODUCT(([1]OUT_FinalEnergyCons!$B$4:$B$10000="Var_FOut")*1, ISNUMBER(SEARCH("RHSA-WHAELCH",[1]OUT_FinalEnergyCons!$C$4:$C$10000))*1,(ISNUMBER(SEARCH("RHSA-WHELCHP",[1]OUT_FinalEnergyCons!$A$4:$A$10000)))*1,[1]OUT_FinalEnergyCons!F$4:F$10000)-H977</f>
        <v>2.2989460551051955</v>
      </c>
      <c r="I1051" s="1" cm="1">
        <f t="array" ref="I1051">SUMPRODUCT(([1]OUT_FinalEnergyCons!$B$4:$B$10000="Var_FOut")*1, ISNUMBER(SEARCH("RHSA-WHAELCH",[1]OUT_FinalEnergyCons!$C$4:$C$10000))*1,(ISNUMBER(SEARCH("RHSA-WHELCHP",[1]OUT_FinalEnergyCons!$A$4:$A$10000)))*1,[1]OUT_FinalEnergyCons!G$4:G$10000)-I977</f>
        <v>3.8577527758258583</v>
      </c>
      <c r="J1051" s="1" cm="1">
        <f t="array" ref="J1051">SUMPRODUCT(([1]OUT_FinalEnergyCons!$B$4:$B$10000="Var_FOut")*1, ISNUMBER(SEARCH("RHSA-WHAELCH",[1]OUT_FinalEnergyCons!$C$4:$C$10000))*1,(ISNUMBER(SEARCH("RHSA-WHELCHP",[1]OUT_FinalEnergyCons!$A$4:$A$10000)))*1,[1]OUT_FinalEnergyCons!H$4:H$10000)-J977</f>
        <v>7.1597367881952954</v>
      </c>
      <c r="K1051" s="1" cm="1">
        <f t="array" ref="K1051">SUMPRODUCT(([1]OUT_FinalEnergyCons!$B$4:$B$10000="Var_FOut")*1, ISNUMBER(SEARCH("RHSA-WHAELCH",[1]OUT_FinalEnergyCons!$C$4:$C$10000))*1,(ISNUMBER(SEARCH("RHSA-WHELCHP",[1]OUT_FinalEnergyCons!$A$4:$A$10000)))*1,[1]OUT_FinalEnergyCons!I$4:I$10000)-K977</f>
        <v>9.3992350040017705</v>
      </c>
    </row>
    <row r="1052" spans="2:13" x14ac:dyDescent="0.35">
      <c r="B1052" s="5" t="str">
        <f t="shared" si="659"/>
        <v>SPS2</v>
      </c>
      <c r="C1052" s="5" t="str">
        <f t="shared" si="644"/>
        <v>CH</v>
      </c>
      <c r="D1052" t="s">
        <v>755</v>
      </c>
      <c r="E1052" t="s">
        <v>8</v>
      </c>
      <c r="F1052" s="1" cm="1">
        <f t="array" ref="F1052">SUMPRODUCT(([1]OUT_FinalEnergyCons!$B$4:$B$10000="Var_FOut")*1,ISNUMBER(SEARCH("RHSA-WHangah",[1]OUT_FinalEnergyCons!$C$4:$C$10000))*1,(ISNUMBER(SEARCH("RHSA-WHngahp",[1]OUT_FinalEnergyCons!$A$4:$A$10000)))*1,[1]OUT_FinalEnergyCons!D$4:D$10000)-F1006</f>
        <v>0</v>
      </c>
      <c r="G1052" s="1" cm="1">
        <f t="array" ref="G1052">SUMPRODUCT(([1]OUT_FinalEnergyCons!$B$4:$B$10000="Var_FOut")*1,ISNUMBER(SEARCH("RHSA-WHangah",[1]OUT_FinalEnergyCons!$C$4:$C$10000))*1,(ISNUMBER(SEARCH("RHSA-WHngahp",[1]OUT_FinalEnergyCons!$A$4:$A$10000)))*1,[1]OUT_FinalEnergyCons!E$4:E$10000)-G1006</f>
        <v>0</v>
      </c>
      <c r="H1052" s="1" cm="1">
        <f t="array" ref="H1052">SUMPRODUCT(([1]OUT_FinalEnergyCons!$B$4:$B$10000="Var_FOut")*1,ISNUMBER(SEARCH("RHSA-WHangah",[1]OUT_FinalEnergyCons!$C$4:$C$10000))*1,(ISNUMBER(SEARCH("RHSA-WHngahp",[1]OUT_FinalEnergyCons!$A$4:$A$10000)))*1,[1]OUT_FinalEnergyCons!F$4:F$10000)-H1006</f>
        <v>0.55848365658124888</v>
      </c>
      <c r="I1052" s="1" cm="1">
        <f t="array" ref="I1052">SUMPRODUCT(([1]OUT_FinalEnergyCons!$B$4:$B$10000="Var_FOut")*1,ISNUMBER(SEARCH("RHSA-WHangah",[1]OUT_FinalEnergyCons!$C$4:$C$10000))*1,(ISNUMBER(SEARCH("RHSA-WHngahp",[1]OUT_FinalEnergyCons!$A$4:$A$10000)))*1,[1]OUT_FinalEnergyCons!G$4:G$10000)-I1006</f>
        <v>1.8987079917800218</v>
      </c>
      <c r="J1052" s="1" cm="1">
        <f t="array" ref="J1052">SUMPRODUCT(([1]OUT_FinalEnergyCons!$B$4:$B$10000="Var_FOut")*1,ISNUMBER(SEARCH("RHSA-WHangah",[1]OUT_FinalEnergyCons!$C$4:$C$10000))*1,(ISNUMBER(SEARCH("RHSA-WHngahp",[1]OUT_FinalEnergyCons!$A$4:$A$10000)))*1,[1]OUT_FinalEnergyCons!H$4:H$10000)-J1006</f>
        <v>3.7633318331927135</v>
      </c>
      <c r="K1052" s="1" cm="1">
        <f t="array" ref="K1052">SUMPRODUCT(([1]OUT_FinalEnergyCons!$B$4:$B$10000="Var_FOut")*1,ISNUMBER(SEARCH("RHSA-WHangah",[1]OUT_FinalEnergyCons!$C$4:$C$10000))*1,(ISNUMBER(SEARCH("RHSA-WHngahp",[1]OUT_FinalEnergyCons!$A$4:$A$10000)))*1,[1]OUT_FinalEnergyCons!I$4:I$10000)-K1006</f>
        <v>4.6341356795914628</v>
      </c>
    </row>
    <row r="1053" spans="2:13" x14ac:dyDescent="0.35">
      <c r="B1053" s="5" t="str">
        <f t="shared" si="659"/>
        <v>SPS2</v>
      </c>
      <c r="C1053" s="5" t="str">
        <f t="shared" si="644"/>
        <v>CH</v>
      </c>
      <c r="D1053" s="2" t="s">
        <v>756</v>
      </c>
      <c r="E1053" t="s">
        <v>8</v>
      </c>
      <c r="F1053" s="3">
        <f>[1]Residential!B$245</f>
        <v>156.0263706070011</v>
      </c>
      <c r="G1053" s="3">
        <f>[1]Residential!C$245</f>
        <v>162.35023499525573</v>
      </c>
      <c r="H1053" s="3">
        <f>[1]Residential!D$245</f>
        <v>147.48616795974323</v>
      </c>
      <c r="I1053" s="3">
        <f>[1]Residential!E$245</f>
        <v>145.89326913547941</v>
      </c>
      <c r="J1053" s="3">
        <f>[1]Residential!F$245</f>
        <v>147.01779886485639</v>
      </c>
      <c r="K1053" s="3">
        <f>[1]Residential!G$245</f>
        <v>146.49707605267113</v>
      </c>
    </row>
    <row r="1054" spans="2:13" x14ac:dyDescent="0.35">
      <c r="B1054" s="5" t="str">
        <f t="shared" si="659"/>
        <v>SPS2</v>
      </c>
      <c r="C1054" s="5" t="str">
        <f>C1053</f>
        <v>CH</v>
      </c>
      <c r="D1054" t="s">
        <v>770</v>
      </c>
      <c r="E1054" t="s">
        <v>8</v>
      </c>
      <c r="F1054" s="1">
        <f>[1]Residential!B$116</f>
        <v>129.04776373100444</v>
      </c>
      <c r="G1054" s="1">
        <f>[1]Residential!C$116</f>
        <v>136.41860858321402</v>
      </c>
      <c r="H1054" s="1">
        <f>[1]Residential!D$116</f>
        <v>125.8168820319915</v>
      </c>
      <c r="I1054" s="1">
        <f>[1]Residential!E$116</f>
        <v>123.80078131366801</v>
      </c>
      <c r="J1054" s="1">
        <f>[1]Residential!F$116</f>
        <v>120.332987779579</v>
      </c>
      <c r="K1054" s="1">
        <f>[1]Residential!G$116</f>
        <v>118.0807389792061</v>
      </c>
    </row>
    <row r="1055" spans="2:13" x14ac:dyDescent="0.35">
      <c r="B1055" s="5" t="str">
        <f t="shared" si="659"/>
        <v>SPS2</v>
      </c>
      <c r="C1055" s="5" t="str">
        <f t="shared" ref="C1055:C1105" si="691">C1054</f>
        <v>CH</v>
      </c>
      <c r="D1055" t="s">
        <v>1116</v>
      </c>
      <c r="E1055" t="s">
        <v>8</v>
      </c>
      <c r="F1055" s="1">
        <f>SUM(F1056:F1057)</f>
        <v>27.968621347641673</v>
      </c>
      <c r="G1055" s="1">
        <f t="shared" ref="G1055:K1055" si="692">SUM(G1056:G1057)</f>
        <v>29.954061228250453</v>
      </c>
      <c r="H1055" s="1">
        <f t="shared" si="692"/>
        <v>32.686669856803377</v>
      </c>
      <c r="I1055" s="1">
        <f t="shared" si="692"/>
        <v>41.704818682843189</v>
      </c>
      <c r="J1055" s="1">
        <f t="shared" si="692"/>
        <v>53.397396861417157</v>
      </c>
      <c r="K1055" s="1">
        <f t="shared" si="692"/>
        <v>53.389691273806726</v>
      </c>
    </row>
    <row r="1056" spans="2:13" x14ac:dyDescent="0.35">
      <c r="B1056" s="5" t="str">
        <f t="shared" si="659"/>
        <v>SPS2</v>
      </c>
      <c r="C1056" s="5" t="str">
        <f t="shared" si="691"/>
        <v>CH</v>
      </c>
      <c r="D1056" t="s">
        <v>1117</v>
      </c>
      <c r="E1056" t="s">
        <v>8</v>
      </c>
      <c r="F1056" s="1">
        <f>[1]Residential!B$102</f>
        <v>8.9081386430517853</v>
      </c>
      <c r="G1056" s="1">
        <f>[1]Residential!C$102</f>
        <v>7.8808317343581846</v>
      </c>
      <c r="H1056" s="1">
        <f>[1]Residential!D$102</f>
        <v>0.8278878091428985</v>
      </c>
      <c r="I1056" s="1">
        <f>[1]Residential!E$102</f>
        <v>0.20827760367388407</v>
      </c>
      <c r="J1056" s="1">
        <f>[1]Residential!F$102</f>
        <v>1.7192824319105231E-2</v>
      </c>
      <c r="K1056" s="1">
        <f>[1]Residential!G$102</f>
        <v>1.5138536415686734E-2</v>
      </c>
    </row>
    <row r="1057" spans="2:11" x14ac:dyDescent="0.35">
      <c r="B1057" s="5" t="str">
        <f t="shared" si="659"/>
        <v>SPS2</v>
      </c>
      <c r="C1057" s="5" t="str">
        <f t="shared" si="691"/>
        <v>CH</v>
      </c>
      <c r="D1057" t="s">
        <v>1118</v>
      </c>
      <c r="E1057" t="s">
        <v>8</v>
      </c>
      <c r="F1057" s="1">
        <f>[1]Residential!B$104</f>
        <v>19.060482704589887</v>
      </c>
      <c r="G1057" s="1">
        <f>[1]Residential!C$104</f>
        <v>22.073229493892267</v>
      </c>
      <c r="H1057" s="1">
        <f>[1]Residential!D$104</f>
        <v>31.85878204766048</v>
      </c>
      <c r="I1057" s="1">
        <f>[1]Residential!E$104</f>
        <v>41.496541079169305</v>
      </c>
      <c r="J1057" s="1">
        <f>[1]Residential!F$104</f>
        <v>53.380204037098054</v>
      </c>
      <c r="K1057" s="1">
        <f>[1]Residential!G$104</f>
        <v>53.374552737391042</v>
      </c>
    </row>
    <row r="1058" spans="2:11" x14ac:dyDescent="0.35">
      <c r="B1058" s="5" t="str">
        <f t="shared" si="659"/>
        <v>SPS2</v>
      </c>
      <c r="C1058" s="5" t="str">
        <f t="shared" si="691"/>
        <v>CH</v>
      </c>
      <c r="D1058" t="s">
        <v>1047</v>
      </c>
      <c r="E1058" t="s">
        <v>8</v>
      </c>
      <c r="F1058" s="1">
        <f>F1059</f>
        <v>45.124479606985958</v>
      </c>
      <c r="G1058" s="1">
        <f t="shared" ref="G1058:K1058" si="693">G1059</f>
        <v>38.695152801018757</v>
      </c>
      <c r="H1058" s="1">
        <f t="shared" si="693"/>
        <v>33.737452915784488</v>
      </c>
      <c r="I1058" s="1">
        <f t="shared" si="693"/>
        <v>17.101461625495258</v>
      </c>
      <c r="J1058" s="1">
        <f t="shared" si="693"/>
        <v>3.8014954068930917</v>
      </c>
      <c r="K1058" s="1">
        <f t="shared" si="693"/>
        <v>0.31723385164812912</v>
      </c>
    </row>
    <row r="1059" spans="2:11" x14ac:dyDescent="0.35">
      <c r="B1059" s="5" t="str">
        <f t="shared" si="659"/>
        <v>SPS2</v>
      </c>
      <c r="C1059" s="5" t="str">
        <f t="shared" si="691"/>
        <v>CH</v>
      </c>
      <c r="D1059" t="s">
        <v>1048</v>
      </c>
      <c r="E1059" t="s">
        <v>8</v>
      </c>
      <c r="F1059" s="1">
        <f>[1]Residential!B$105</f>
        <v>45.124479606985958</v>
      </c>
      <c r="G1059" s="1">
        <f>[1]Residential!C$105</f>
        <v>38.695152801018757</v>
      </c>
      <c r="H1059" s="1">
        <f>[1]Residential!D$105</f>
        <v>33.737452915784488</v>
      </c>
      <c r="I1059" s="1">
        <f>[1]Residential!E$105</f>
        <v>17.101461625495258</v>
      </c>
      <c r="J1059" s="1">
        <f>[1]Residential!F$105</f>
        <v>3.8014954068930917</v>
      </c>
      <c r="K1059" s="1">
        <f>[1]Residential!G$105</f>
        <v>0.31723385164812912</v>
      </c>
    </row>
    <row r="1060" spans="2:11" x14ac:dyDescent="0.35">
      <c r="B1060" s="5" t="str">
        <f t="shared" si="659"/>
        <v>SPS2</v>
      </c>
      <c r="C1060" s="5" t="str">
        <f t="shared" si="691"/>
        <v>CH</v>
      </c>
      <c r="D1060" t="s">
        <v>1049</v>
      </c>
      <c r="E1060" t="s">
        <v>8</v>
      </c>
      <c r="F1060" s="1">
        <f>SUM(F1061:F1062)</f>
        <v>36.569960483868471</v>
      </c>
      <c r="G1060" s="1">
        <f t="shared" ref="G1060:K1060" si="694">SUM(G1061:G1062)</f>
        <v>39.174269238456525</v>
      </c>
      <c r="H1060" s="1">
        <f t="shared" si="694"/>
        <v>37.148471932945149</v>
      </c>
      <c r="I1060" s="1">
        <f t="shared" si="694"/>
        <v>36.99034106844497</v>
      </c>
      <c r="J1060" s="1">
        <f t="shared" si="694"/>
        <v>27.579884944727596</v>
      </c>
      <c r="K1060" s="1">
        <f t="shared" si="694"/>
        <v>22.295714920956918</v>
      </c>
    </row>
    <row r="1061" spans="2:11" x14ac:dyDescent="0.35">
      <c r="B1061" s="5" t="str">
        <f t="shared" si="659"/>
        <v>SPS2</v>
      </c>
      <c r="C1061" s="5" t="str">
        <f t="shared" si="691"/>
        <v>CH</v>
      </c>
      <c r="D1061" t="s">
        <v>1050</v>
      </c>
      <c r="E1061" t="s">
        <v>8</v>
      </c>
      <c r="F1061" s="1">
        <f>[1]Residential!B$106</f>
        <v>36.569960483868471</v>
      </c>
      <c r="G1061" s="1">
        <f>[1]Residential!C$106</f>
        <v>39.174269238456525</v>
      </c>
      <c r="H1061" s="1">
        <f>[1]Residential!D$106</f>
        <v>31.90818966022227</v>
      </c>
      <c r="I1061" s="1">
        <f>[1]Residential!E$106</f>
        <v>22.90247082351426</v>
      </c>
      <c r="J1061" s="1">
        <f>[1]Residential!F$106</f>
        <v>6.5381634640291058</v>
      </c>
      <c r="K1061" s="1">
        <f>[1]Residential!G$106</f>
        <v>2.6519717208926767</v>
      </c>
    </row>
    <row r="1062" spans="2:11" x14ac:dyDescent="0.35">
      <c r="B1062" s="5" t="str">
        <f t="shared" si="659"/>
        <v>SPS2</v>
      </c>
      <c r="C1062" s="5" t="str">
        <f t="shared" si="691"/>
        <v>CH</v>
      </c>
      <c r="D1062" t="s">
        <v>1051</v>
      </c>
      <c r="E1062" t="s">
        <v>8</v>
      </c>
      <c r="F1062" s="1">
        <f>[1]Residential!B$107</f>
        <v>0</v>
      </c>
      <c r="G1062" s="1">
        <f>[1]Residential!C$107</f>
        <v>0</v>
      </c>
      <c r="H1062" s="1">
        <f>[1]Residential!D$107</f>
        <v>5.2402822727228813</v>
      </c>
      <c r="I1062" s="1">
        <f>[1]Residential!E$107</f>
        <v>14.087870244930711</v>
      </c>
      <c r="J1062" s="1">
        <f>[1]Residential!F$107</f>
        <v>21.041721480698488</v>
      </c>
      <c r="K1062" s="1">
        <f>[1]Residential!G$107</f>
        <v>19.643743200064243</v>
      </c>
    </row>
    <row r="1063" spans="2:11" x14ac:dyDescent="0.35">
      <c r="B1063" s="5" t="str">
        <f t="shared" si="659"/>
        <v>SPS2</v>
      </c>
      <c r="C1063" s="5" t="str">
        <f t="shared" si="691"/>
        <v>CH</v>
      </c>
      <c r="D1063" t="s">
        <v>1052</v>
      </c>
      <c r="E1063" t="s">
        <v>8</v>
      </c>
      <c r="F1063" s="1">
        <f>F1064</f>
        <v>7.2011257673008991E-2</v>
      </c>
      <c r="G1063" s="1">
        <f t="shared" ref="G1063:K1063" si="695">G1064</f>
        <v>7.2004793210507567E-2</v>
      </c>
      <c r="H1063" s="1">
        <f t="shared" si="695"/>
        <v>2.1546834228583642E-2</v>
      </c>
      <c r="I1063" s="1">
        <f t="shared" si="695"/>
        <v>1.8268192846312406E-4</v>
      </c>
      <c r="J1063" s="1">
        <f t="shared" si="695"/>
        <v>0</v>
      </c>
      <c r="K1063" s="1">
        <f t="shared" si="695"/>
        <v>0</v>
      </c>
    </row>
    <row r="1064" spans="2:11" x14ac:dyDescent="0.35">
      <c r="B1064" s="5" t="str">
        <f t="shared" si="659"/>
        <v>SPS2</v>
      </c>
      <c r="C1064" s="5" t="str">
        <f t="shared" si="691"/>
        <v>CH</v>
      </c>
      <c r="D1064" t="s">
        <v>1053</v>
      </c>
      <c r="E1064" t="s">
        <v>8</v>
      </c>
      <c r="F1064" s="1">
        <f>[1]Residential!B$108</f>
        <v>7.2011257673008991E-2</v>
      </c>
      <c r="G1064" s="1">
        <f>[1]Residential!C$108</f>
        <v>7.2004793210507567E-2</v>
      </c>
      <c r="H1064" s="1">
        <f>[1]Residential!D$108</f>
        <v>2.1546834228583642E-2</v>
      </c>
      <c r="I1064" s="1">
        <f>[1]Residential!E$108</f>
        <v>1.8268192846312406E-4</v>
      </c>
      <c r="J1064" s="1">
        <f>[1]Residential!F$108</f>
        <v>0</v>
      </c>
      <c r="K1064" s="1">
        <f>[1]Residential!G$108</f>
        <v>0</v>
      </c>
    </row>
    <row r="1065" spans="2:11" x14ac:dyDescent="0.35">
      <c r="B1065" s="5" t="str">
        <f t="shared" si="659"/>
        <v>SPS2</v>
      </c>
      <c r="C1065" s="5" t="str">
        <f t="shared" si="691"/>
        <v>CH</v>
      </c>
      <c r="D1065" t="s">
        <v>1054</v>
      </c>
      <c r="E1065" t="s">
        <v>8</v>
      </c>
      <c r="F1065" s="1">
        <f>SUM([1]Residential!B$109:B$110)</f>
        <v>6.5912287721408811</v>
      </c>
      <c r="G1065" s="1">
        <f>SUM([1]Residential!C$109:C$110)</f>
        <v>7.7162610350227316</v>
      </c>
      <c r="H1065" s="1">
        <f>SUM([1]Residential!D$109:D$110)</f>
        <v>5.8951834103884888</v>
      </c>
      <c r="I1065" s="1">
        <f>SUM([1]Residential!E$109:E$110)</f>
        <v>7.5287098215886257</v>
      </c>
      <c r="J1065" s="1">
        <f>SUM([1]Residential!F$109:F$110)</f>
        <v>8.4115074501669476</v>
      </c>
      <c r="K1065" s="1">
        <f>SUM([1]Residential!G$109:G$110)</f>
        <v>7.89238783101022</v>
      </c>
    </row>
    <row r="1066" spans="2:11" x14ac:dyDescent="0.35">
      <c r="B1066" s="5" t="str">
        <f t="shared" si="659"/>
        <v>SPS2</v>
      </c>
      <c r="C1066" s="5" t="str">
        <f t="shared" si="691"/>
        <v>CH</v>
      </c>
      <c r="D1066" t="s">
        <v>1055</v>
      </c>
      <c r="E1066" t="s">
        <v>8</v>
      </c>
      <c r="F1066" s="1">
        <f>[1]Residential!B$109</f>
        <v>8.1909785536110724E-2</v>
      </c>
      <c r="G1066" s="1">
        <f>[1]Residential!C$109</f>
        <v>2.3119485023108201E-2</v>
      </c>
      <c r="H1066" s="1">
        <f>[1]Residential!D$109</f>
        <v>0</v>
      </c>
      <c r="I1066" s="1">
        <f>[1]Residential!E$109</f>
        <v>0</v>
      </c>
      <c r="J1066" s="1">
        <f>[1]Residential!F$109</f>
        <v>0</v>
      </c>
      <c r="K1066" s="1">
        <f>[1]Residential!G$109</f>
        <v>0</v>
      </c>
    </row>
    <row r="1067" spans="2:11" x14ac:dyDescent="0.35">
      <c r="B1067" s="5" t="str">
        <f t="shared" si="659"/>
        <v>SPS2</v>
      </c>
      <c r="C1067" s="5" t="str">
        <f t="shared" si="691"/>
        <v>CH</v>
      </c>
      <c r="D1067" t="s">
        <v>1056</v>
      </c>
      <c r="E1067" t="s">
        <v>8</v>
      </c>
      <c r="F1067" s="1">
        <f>IFERROR(F$1066/F$1041,0)*F1042</f>
        <v>7.9743146585024099E-2</v>
      </c>
      <c r="G1067" s="1">
        <f t="shared" ref="G1067:K1067" si="696">IFERROR(G$1066/G$1041,0)*G1042</f>
        <v>2.1002089519922235E-2</v>
      </c>
      <c r="H1067" s="1">
        <f t="shared" si="696"/>
        <v>0</v>
      </c>
      <c r="I1067" s="1">
        <f t="shared" si="696"/>
        <v>0</v>
      </c>
      <c r="J1067" s="1">
        <f t="shared" si="696"/>
        <v>0</v>
      </c>
      <c r="K1067" s="1">
        <f t="shared" si="696"/>
        <v>0</v>
      </c>
    </row>
    <row r="1068" spans="2:11" x14ac:dyDescent="0.35">
      <c r="B1068" s="5" t="str">
        <f t="shared" si="659"/>
        <v>SPS2</v>
      </c>
      <c r="C1068" s="5" t="str">
        <f t="shared" si="691"/>
        <v>CH</v>
      </c>
      <c r="D1068" t="s">
        <v>1057</v>
      </c>
      <c r="E1068" t="s">
        <v>8</v>
      </c>
      <c r="F1068" s="1">
        <f t="shared" ref="F1068:K1068" si="697">IFERROR(F$1066/F$1041,0)*F1043</f>
        <v>0</v>
      </c>
      <c r="G1068" s="1">
        <f t="shared" si="697"/>
        <v>0</v>
      </c>
      <c r="H1068" s="1">
        <f t="shared" si="697"/>
        <v>0</v>
      </c>
      <c r="I1068" s="1">
        <f t="shared" si="697"/>
        <v>0</v>
      </c>
      <c r="J1068" s="1">
        <f t="shared" si="697"/>
        <v>0</v>
      </c>
      <c r="K1068" s="1">
        <f t="shared" si="697"/>
        <v>0</v>
      </c>
    </row>
    <row r="1069" spans="2:11" x14ac:dyDescent="0.35">
      <c r="B1069" s="5" t="str">
        <f t="shared" si="659"/>
        <v>SPS2</v>
      </c>
      <c r="C1069" s="5" t="str">
        <f t="shared" si="691"/>
        <v>CH</v>
      </c>
      <c r="D1069" t="s">
        <v>1058</v>
      </c>
      <c r="E1069" t="s">
        <v>8</v>
      </c>
      <c r="F1069" s="1">
        <f t="shared" ref="F1069:K1069" si="698">IFERROR(F$1066/F$1041,0)*F1044</f>
        <v>2.1666389510866203E-3</v>
      </c>
      <c r="G1069" s="1">
        <f t="shared" si="698"/>
        <v>2.1173955031859666E-3</v>
      </c>
      <c r="H1069" s="1">
        <f t="shared" si="698"/>
        <v>0</v>
      </c>
      <c r="I1069" s="1">
        <f t="shared" si="698"/>
        <v>0</v>
      </c>
      <c r="J1069" s="1">
        <f t="shared" si="698"/>
        <v>0</v>
      </c>
      <c r="K1069" s="1">
        <f t="shared" si="698"/>
        <v>0</v>
      </c>
    </row>
    <row r="1070" spans="2:11" x14ac:dyDescent="0.35">
      <c r="B1070" s="5" t="str">
        <f t="shared" si="659"/>
        <v>SPS2</v>
      </c>
      <c r="C1070" s="5" t="str">
        <f t="shared" si="691"/>
        <v>CH</v>
      </c>
      <c r="D1070" t="s">
        <v>1059</v>
      </c>
      <c r="E1070" t="s">
        <v>8</v>
      </c>
      <c r="F1070" s="1">
        <f>F1065-F1066</f>
        <v>6.5093189866047707</v>
      </c>
      <c r="G1070" s="1">
        <f t="shared" ref="G1070:K1070" si="699">G1065-G1066</f>
        <v>7.6931415499996234</v>
      </c>
      <c r="H1070" s="1">
        <f t="shared" si="699"/>
        <v>5.8951834103884888</v>
      </c>
      <c r="I1070" s="1">
        <f t="shared" si="699"/>
        <v>7.5287098215886257</v>
      </c>
      <c r="J1070" s="1">
        <f t="shared" si="699"/>
        <v>8.4115074501669476</v>
      </c>
      <c r="K1070" s="1">
        <f t="shared" si="699"/>
        <v>7.89238783101022</v>
      </c>
    </row>
    <row r="1071" spans="2:11" x14ac:dyDescent="0.35">
      <c r="B1071" s="5" t="str">
        <f t="shared" si="659"/>
        <v>SPS2</v>
      </c>
      <c r="C1071" s="5" t="str">
        <f t="shared" si="691"/>
        <v>CH</v>
      </c>
      <c r="D1071" t="s">
        <v>1060</v>
      </c>
      <c r="E1071" t="s">
        <v>8</v>
      </c>
      <c r="F1071" s="1">
        <f>F1072</f>
        <v>9.1311121896562319</v>
      </c>
      <c r="G1071" s="1">
        <f t="shared" ref="G1071:K1071" si="700">G1072</f>
        <v>10.5013574379118</v>
      </c>
      <c r="H1071" s="1">
        <f t="shared" si="700"/>
        <v>10.81016464198791</v>
      </c>
      <c r="I1071" s="1">
        <f t="shared" si="700"/>
        <v>9.4953759493218115</v>
      </c>
      <c r="J1071" s="1">
        <f t="shared" si="700"/>
        <v>6.538321201873309</v>
      </c>
      <c r="K1071" s="1">
        <f t="shared" si="700"/>
        <v>3.9234335003500673</v>
      </c>
    </row>
    <row r="1072" spans="2:11" x14ac:dyDescent="0.35">
      <c r="B1072" s="5" t="str">
        <f t="shared" si="659"/>
        <v>SPS2</v>
      </c>
      <c r="C1072" s="5" t="str">
        <f t="shared" si="691"/>
        <v>CH</v>
      </c>
      <c r="D1072" t="s">
        <v>1061</v>
      </c>
      <c r="E1072" t="s">
        <v>8</v>
      </c>
      <c r="F1072" s="1">
        <f>[1]Residential!B$111</f>
        <v>9.1311121896562319</v>
      </c>
      <c r="G1072" s="1">
        <f>[1]Residential!C$111</f>
        <v>10.5013574379118</v>
      </c>
      <c r="H1072" s="1">
        <f>[1]Residential!D$111</f>
        <v>10.81016464198791</v>
      </c>
      <c r="I1072" s="1">
        <f>[1]Residential!E$111</f>
        <v>9.4953759493218115</v>
      </c>
      <c r="J1072" s="1">
        <f>[1]Residential!F$111</f>
        <v>6.538321201873309</v>
      </c>
      <c r="K1072" s="1">
        <f>[1]Residential!G$111</f>
        <v>3.9234335003500673</v>
      </c>
    </row>
    <row r="1073" spans="2:11" x14ac:dyDescent="0.35">
      <c r="B1073" s="5" t="str">
        <f t="shared" si="659"/>
        <v>SPS2</v>
      </c>
      <c r="C1073" s="5" t="str">
        <f t="shared" si="691"/>
        <v>CH</v>
      </c>
      <c r="D1073" t="s">
        <v>1062</v>
      </c>
      <c r="E1073" t="s">
        <v>8</v>
      </c>
      <c r="F1073" s="1">
        <f>F1074</f>
        <v>2.6969343537772779</v>
      </c>
      <c r="G1073" s="1">
        <f t="shared" ref="G1073:K1073" si="701">G1074</f>
        <v>3.1682570107091674</v>
      </c>
      <c r="H1073" s="1">
        <f t="shared" si="701"/>
        <v>0.34941240254957884</v>
      </c>
      <c r="I1073" s="1">
        <f t="shared" si="701"/>
        <v>0.41734004534481067</v>
      </c>
      <c r="J1073" s="1">
        <f t="shared" si="701"/>
        <v>0.4516322260262372</v>
      </c>
      <c r="K1073" s="1">
        <f t="shared" si="701"/>
        <v>0.37838916135343137</v>
      </c>
    </row>
    <row r="1074" spans="2:11" x14ac:dyDescent="0.35">
      <c r="B1074" s="5" t="str">
        <f t="shared" si="659"/>
        <v>SPS2</v>
      </c>
      <c r="C1074" s="5" t="str">
        <f t="shared" si="691"/>
        <v>CH</v>
      </c>
      <c r="D1074" t="s">
        <v>1063</v>
      </c>
      <c r="E1074" t="s">
        <v>8</v>
      </c>
      <c r="F1074" s="1">
        <f>[1]Residential!B$112</f>
        <v>2.6969343537772779</v>
      </c>
      <c r="G1074" s="1">
        <f>[1]Residential!C$112</f>
        <v>3.1682570107091674</v>
      </c>
      <c r="H1074" s="1">
        <f>[1]Residential!D$112</f>
        <v>0.34941240254957884</v>
      </c>
      <c r="I1074" s="1">
        <f>[1]Residential!E$112</f>
        <v>0.41734004534481067</v>
      </c>
      <c r="J1074" s="1">
        <f>[1]Residential!F$112</f>
        <v>0.4516322260262372</v>
      </c>
      <c r="K1074" s="1">
        <f>[1]Residential!G$112</f>
        <v>0.37838916135343137</v>
      </c>
    </row>
    <row r="1075" spans="2:11" x14ac:dyDescent="0.35">
      <c r="B1075" s="5" t="str">
        <f t="shared" si="659"/>
        <v>SPS2</v>
      </c>
      <c r="C1075" s="5" t="str">
        <f t="shared" si="691"/>
        <v>CH</v>
      </c>
      <c r="D1075" t="s">
        <v>1064</v>
      </c>
      <c r="E1075" t="s">
        <v>8</v>
      </c>
      <c r="F1075" s="1">
        <f>F1076</f>
        <v>0.78536264060338268</v>
      </c>
      <c r="G1075" s="1">
        <f t="shared" ref="G1075:K1075" si="702">G1076</f>
        <v>0.94141784725438427</v>
      </c>
      <c r="H1075" s="1">
        <f t="shared" si="702"/>
        <v>3.1447874708470207E-2</v>
      </c>
      <c r="I1075" s="1">
        <f t="shared" si="702"/>
        <v>3.4855447355420392E-2</v>
      </c>
      <c r="J1075" s="1">
        <f t="shared" si="702"/>
        <v>3.3265554448667745E-2</v>
      </c>
      <c r="K1075" s="1">
        <f t="shared" si="702"/>
        <v>2.9714761933524198E-2</v>
      </c>
    </row>
    <row r="1076" spans="2:11" x14ac:dyDescent="0.35">
      <c r="B1076" s="5" t="str">
        <f t="shared" ref="B1076:B1139" si="703">B1075</f>
        <v>SPS2</v>
      </c>
      <c r="C1076" s="5" t="str">
        <f t="shared" si="691"/>
        <v>CH</v>
      </c>
      <c r="D1076" t="s">
        <v>1065</v>
      </c>
      <c r="E1076" t="s">
        <v>8</v>
      </c>
      <c r="F1076" s="1">
        <f>[1]Residential!B$113</f>
        <v>0.78536264060338268</v>
      </c>
      <c r="G1076" s="1">
        <f>[1]Residential!C$113</f>
        <v>0.94141784725438427</v>
      </c>
      <c r="H1076" s="1">
        <f>[1]Residential!D$113</f>
        <v>3.1447874708470207E-2</v>
      </c>
      <c r="I1076" s="1">
        <f>[1]Residential!E$113</f>
        <v>3.4855447355420392E-2</v>
      </c>
      <c r="J1076" s="1">
        <f>[1]Residential!F$113</f>
        <v>3.3265554448667745E-2</v>
      </c>
      <c r="K1076" s="1">
        <f>[1]Residential!G$113</f>
        <v>2.9714761933524198E-2</v>
      </c>
    </row>
    <row r="1077" spans="2:11" x14ac:dyDescent="0.35">
      <c r="B1077" s="5" t="str">
        <f t="shared" si="703"/>
        <v>SPS2</v>
      </c>
      <c r="C1077" s="5" t="str">
        <f t="shared" si="691"/>
        <v>CH</v>
      </c>
      <c r="D1077" t="s">
        <v>1066</v>
      </c>
      <c r="E1077" t="s">
        <v>8</v>
      </c>
      <c r="F1077" s="1">
        <f>F1078</f>
        <v>0</v>
      </c>
      <c r="G1077" s="1">
        <f t="shared" ref="G1077:K1077" si="704">G1078</f>
        <v>0</v>
      </c>
      <c r="H1077" s="1">
        <f t="shared" si="704"/>
        <v>0</v>
      </c>
      <c r="I1077" s="1">
        <f t="shared" si="704"/>
        <v>0</v>
      </c>
      <c r="J1077" s="1">
        <f t="shared" si="704"/>
        <v>0</v>
      </c>
      <c r="K1077" s="1">
        <f t="shared" si="704"/>
        <v>0</v>
      </c>
    </row>
    <row r="1078" spans="2:11" x14ac:dyDescent="0.35">
      <c r="B1078" s="5" t="str">
        <f t="shared" si="703"/>
        <v>SPS2</v>
      </c>
      <c r="C1078" s="5" t="str">
        <f t="shared" si="691"/>
        <v>CH</v>
      </c>
      <c r="D1078" t="s">
        <v>1067</v>
      </c>
      <c r="E1078" t="s">
        <v>8</v>
      </c>
      <c r="F1078" s="1">
        <f>[1]Residential!B$114</f>
        <v>0</v>
      </c>
      <c r="G1078" s="1">
        <f>[1]Residential!C$114</f>
        <v>0</v>
      </c>
      <c r="H1078" s="1">
        <f>[1]Residential!D$114</f>
        <v>0</v>
      </c>
      <c r="I1078" s="1">
        <f>[1]Residential!E$114</f>
        <v>0</v>
      </c>
      <c r="J1078" s="1">
        <f>[1]Residential!F$114</f>
        <v>0</v>
      </c>
      <c r="K1078" s="1">
        <f>[1]Residential!G$114</f>
        <v>0</v>
      </c>
    </row>
    <row r="1079" spans="2:11" x14ac:dyDescent="0.35">
      <c r="B1079" s="5" t="str">
        <f t="shared" si="703"/>
        <v>SPS2</v>
      </c>
      <c r="C1079" s="5" t="str">
        <f t="shared" si="691"/>
        <v>CH</v>
      </c>
      <c r="D1079" t="s">
        <v>1068</v>
      </c>
      <c r="E1079" t="s">
        <v>8</v>
      </c>
      <c r="F1079" s="1">
        <f>[1]Residential!B$10-[1]Residential!B$223</f>
        <v>0.10805307865753425</v>
      </c>
      <c r="G1079" s="1">
        <f>[1]Residential!C$10-[1]Residential!C$223</f>
        <v>6.1958271913796992</v>
      </c>
      <c r="H1079" s="1">
        <f>[1]Residential!D$10-[1]Residential!D$223</f>
        <v>5.136532162595441</v>
      </c>
      <c r="I1079" s="1">
        <f>[1]Residential!E$10-[1]Residential!E$223</f>
        <v>10.527695991345459</v>
      </c>
      <c r="J1079" s="1">
        <f>[1]Residential!F$10-[1]Residential!F$223</f>
        <v>20.11948413402601</v>
      </c>
      <c r="K1079" s="1">
        <f>[1]Residential!G$10-[1]Residential!G$223</f>
        <v>29.854173678147088</v>
      </c>
    </row>
    <row r="1080" spans="2:11" x14ac:dyDescent="0.35">
      <c r="B1080" s="5" t="str">
        <f t="shared" si="703"/>
        <v>SPS2</v>
      </c>
      <c r="C1080" s="5" t="str">
        <f t="shared" si="691"/>
        <v>CH</v>
      </c>
      <c r="D1080" t="s">
        <v>1069</v>
      </c>
      <c r="E1080" t="s">
        <v>8</v>
      </c>
      <c r="F1080" s="1">
        <f>[1]Residential!B$224</f>
        <v>26.978606875996675</v>
      </c>
      <c r="G1080" s="1">
        <f>[1]Residential!C$224</f>
        <v>25.931626412041723</v>
      </c>
      <c r="H1080" s="1">
        <f>[1]Residential!D$224</f>
        <v>21.669285927751741</v>
      </c>
      <c r="I1080" s="1">
        <f>[1]Residential!E$224</f>
        <v>22.092487821811428</v>
      </c>
      <c r="J1080" s="1">
        <f>[1]Residential!F$224</f>
        <v>26.684811085277349</v>
      </c>
      <c r="K1080" s="1">
        <f>[1]Residential!G$224</f>
        <v>28.416337073464987</v>
      </c>
    </row>
    <row r="1081" spans="2:11" x14ac:dyDescent="0.35">
      <c r="B1081" s="5" t="str">
        <f t="shared" si="703"/>
        <v>SPS2</v>
      </c>
      <c r="C1081" s="5" t="str">
        <f t="shared" si="691"/>
        <v>CH</v>
      </c>
      <c r="D1081" t="s">
        <v>1119</v>
      </c>
      <c r="E1081" t="s">
        <v>8</v>
      </c>
      <c r="F1081" s="1">
        <f>SUM(F1082:F1083)</f>
        <v>9.8847387204832451</v>
      </c>
      <c r="G1081" s="1">
        <f t="shared" ref="G1081:K1081" si="705">SUM(G1082:G1083)</f>
        <v>10.604233747784289</v>
      </c>
      <c r="H1081" s="1">
        <f t="shared" si="705"/>
        <v>7.7336184127095358</v>
      </c>
      <c r="I1081" s="1">
        <f t="shared" si="705"/>
        <v>9.4003903190702207</v>
      </c>
      <c r="J1081" s="1">
        <f t="shared" si="705"/>
        <v>13.942195392426203</v>
      </c>
      <c r="K1081" s="1">
        <f t="shared" si="705"/>
        <v>16.401909006712554</v>
      </c>
    </row>
    <row r="1082" spans="2:11" x14ac:dyDescent="0.35">
      <c r="B1082" s="5" t="str">
        <f t="shared" si="703"/>
        <v>SPS2</v>
      </c>
      <c r="C1082" s="5" t="str">
        <f t="shared" si="691"/>
        <v>CH</v>
      </c>
      <c r="D1082" t="s">
        <v>1120</v>
      </c>
      <c r="E1082" t="s">
        <v>8</v>
      </c>
      <c r="F1082" s="1">
        <f>[1]Residential!B$231-F1056</f>
        <v>6.6447687422637252</v>
      </c>
      <c r="G1082" s="1">
        <f>[1]Residential!C$231-G1056</f>
        <v>6.9687218536322559</v>
      </c>
      <c r="H1082" s="1">
        <f>[1]Residential!D$231-H1056</f>
        <v>2.8218798596472254</v>
      </c>
      <c r="I1082" s="1">
        <f>[1]Residential!E$231-I1056</f>
        <v>2.0132841535410164</v>
      </c>
      <c r="J1082" s="1">
        <f>[1]Residential!F$231-J1056</f>
        <v>1.7265609687524126</v>
      </c>
      <c r="K1082" s="1">
        <f>[1]Residential!G$231-K1056</f>
        <v>1.5551914374503015</v>
      </c>
    </row>
    <row r="1083" spans="2:11" x14ac:dyDescent="0.35">
      <c r="B1083" s="5" t="str">
        <f t="shared" si="703"/>
        <v>SPS2</v>
      </c>
      <c r="C1083" s="5" t="str">
        <f t="shared" si="691"/>
        <v>CH</v>
      </c>
      <c r="D1083" t="s">
        <v>1121</v>
      </c>
      <c r="E1083" t="s">
        <v>8</v>
      </c>
      <c r="F1083" s="1">
        <f>[1]Residential!B$233-F1057</f>
        <v>3.2399699782195199</v>
      </c>
      <c r="G1083" s="1">
        <f>[1]Residential!C$233-G1057</f>
        <v>3.6355118941520317</v>
      </c>
      <c r="H1083" s="1">
        <f>[1]Residential!D$233-H1057</f>
        <v>4.9117385530623103</v>
      </c>
      <c r="I1083" s="1">
        <f>[1]Residential!E$233-I1057</f>
        <v>7.3871061655292038</v>
      </c>
      <c r="J1083" s="1">
        <f>[1]Residential!F$233-J1057</f>
        <v>12.215634423673791</v>
      </c>
      <c r="K1083" s="1">
        <f>[1]Residential!G$233-K1057</f>
        <v>14.846717569262253</v>
      </c>
    </row>
    <row r="1084" spans="2:11" x14ac:dyDescent="0.35">
      <c r="B1084" s="5" t="str">
        <f t="shared" si="703"/>
        <v>SPS2</v>
      </c>
      <c r="C1084" s="5" t="str">
        <f t="shared" si="691"/>
        <v>CH</v>
      </c>
      <c r="D1084" t="s">
        <v>1070</v>
      </c>
      <c r="E1084" t="s">
        <v>8</v>
      </c>
      <c r="F1084" s="1">
        <f>F1085</f>
        <v>6.984483253306685</v>
      </c>
      <c r="G1084" s="1">
        <f t="shared" ref="G1084:K1084" si="706">G1085</f>
        <v>5.8063816332920908</v>
      </c>
      <c r="H1084" s="1">
        <f t="shared" si="706"/>
        <v>4.4246926402185096</v>
      </c>
      <c r="I1084" s="1">
        <f t="shared" si="706"/>
        <v>2.0795507521888013</v>
      </c>
      <c r="J1084" s="1">
        <f t="shared" si="706"/>
        <v>0.72881869070523209</v>
      </c>
      <c r="K1084" s="1">
        <f t="shared" si="706"/>
        <v>7.1840883115624199E-2</v>
      </c>
    </row>
    <row r="1085" spans="2:11" x14ac:dyDescent="0.35">
      <c r="B1085" s="5" t="str">
        <f t="shared" si="703"/>
        <v>SPS2</v>
      </c>
      <c r="C1085" s="5" t="str">
        <f t="shared" si="691"/>
        <v>CH</v>
      </c>
      <c r="D1085" t="s">
        <v>1071</v>
      </c>
      <c r="E1085" t="s">
        <v>8</v>
      </c>
      <c r="F1085" s="1">
        <f>[1]Residential!B$234-F1059</f>
        <v>6.984483253306685</v>
      </c>
      <c r="G1085" s="1">
        <f>[1]Residential!C$234-G1059</f>
        <v>5.8063816332920908</v>
      </c>
      <c r="H1085" s="1">
        <f>[1]Residential!D$234-H1059</f>
        <v>4.4246926402185096</v>
      </c>
      <c r="I1085" s="1">
        <f>[1]Residential!E$234-I1059</f>
        <v>2.0795507521888013</v>
      </c>
      <c r="J1085" s="1">
        <f>[1]Residential!F$234-J1059</f>
        <v>0.72881869070523209</v>
      </c>
      <c r="K1085" s="1">
        <f>[1]Residential!G$234-K1059</f>
        <v>7.1840883115624199E-2</v>
      </c>
    </row>
    <row r="1086" spans="2:11" x14ac:dyDescent="0.35">
      <c r="B1086" s="5" t="str">
        <f t="shared" si="703"/>
        <v>SPS2</v>
      </c>
      <c r="C1086" s="5" t="str">
        <f t="shared" si="691"/>
        <v>CH</v>
      </c>
      <c r="D1086" t="s">
        <v>1072</v>
      </c>
      <c r="E1086" t="s">
        <v>8</v>
      </c>
      <c r="F1086" s="1">
        <f>SUM(F1087:F1088)</f>
        <v>6.3804763395022235</v>
      </c>
      <c r="G1086" s="1">
        <f t="shared" ref="G1086:K1086" si="707">SUM(G1087:G1088)</f>
        <v>5.2787056327607118</v>
      </c>
      <c r="H1086" s="1">
        <f t="shared" si="707"/>
        <v>6.3281324867035167</v>
      </c>
      <c r="I1086" s="1">
        <f t="shared" si="707"/>
        <v>6.7881451880390475</v>
      </c>
      <c r="J1086" s="1">
        <f t="shared" si="707"/>
        <v>7.6195274057519136</v>
      </c>
      <c r="K1086" s="1">
        <f t="shared" si="707"/>
        <v>7.5389442894016945</v>
      </c>
    </row>
    <row r="1087" spans="2:11" x14ac:dyDescent="0.35">
      <c r="B1087" s="5" t="str">
        <f t="shared" si="703"/>
        <v>SPS2</v>
      </c>
      <c r="C1087" s="5" t="str">
        <f t="shared" si="691"/>
        <v>CH</v>
      </c>
      <c r="D1087" t="s">
        <v>1073</v>
      </c>
      <c r="E1087" t="s">
        <v>8</v>
      </c>
      <c r="F1087" s="1">
        <f>[1]Residential!B$235-F1061</f>
        <v>6.3804763395022235</v>
      </c>
      <c r="G1087" s="1">
        <f>[1]Residential!C$235-G1061</f>
        <v>5.2787056327607118</v>
      </c>
      <c r="H1087" s="1">
        <f>[1]Residential!D$235-H1061</f>
        <v>5.2233936526077116</v>
      </c>
      <c r="I1087" s="1">
        <f>[1]Residential!E$235-I1061</f>
        <v>3.4367497253984034</v>
      </c>
      <c r="J1087" s="1">
        <f>[1]Residential!F$235-J1061</f>
        <v>1.4691134205409497</v>
      </c>
      <c r="K1087" s="1">
        <f>[1]Residential!G$235-K1061</f>
        <v>0.69979200848235479</v>
      </c>
    </row>
    <row r="1088" spans="2:11" x14ac:dyDescent="0.35">
      <c r="B1088" s="5" t="str">
        <f t="shared" si="703"/>
        <v>SPS2</v>
      </c>
      <c r="C1088" s="5" t="str">
        <f t="shared" si="691"/>
        <v>CH</v>
      </c>
      <c r="D1088" t="s">
        <v>1074</v>
      </c>
      <c r="E1088" t="s">
        <v>8</v>
      </c>
      <c r="F1088" s="1">
        <f>[1]Residential!B$236-F1062</f>
        <v>0</v>
      </c>
      <c r="G1088" s="1">
        <f>[1]Residential!C$236-G1062</f>
        <v>0</v>
      </c>
      <c r="H1088" s="1">
        <f>[1]Residential!D$236-H1062</f>
        <v>1.1047388340958051</v>
      </c>
      <c r="I1088" s="1">
        <f>[1]Residential!E$236-I1062</f>
        <v>3.3513954626406441</v>
      </c>
      <c r="J1088" s="1">
        <f>[1]Residential!F$236-J1062</f>
        <v>6.1504139852109638</v>
      </c>
      <c r="K1088" s="1">
        <f>[1]Residential!G$236-K1062</f>
        <v>6.8391522809193397</v>
      </c>
    </row>
    <row r="1089" spans="2:11" x14ac:dyDescent="0.35">
      <c r="B1089" s="5" t="str">
        <f t="shared" si="703"/>
        <v>SPS2</v>
      </c>
      <c r="C1089" s="5" t="str">
        <f t="shared" si="691"/>
        <v>CH</v>
      </c>
      <c r="D1089" t="s">
        <v>1075</v>
      </c>
      <c r="E1089" t="s">
        <v>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2:11" x14ac:dyDescent="0.35">
      <c r="B1090" s="5" t="str">
        <f t="shared" si="703"/>
        <v>SPS2</v>
      </c>
      <c r="C1090" s="5" t="str">
        <f t="shared" si="691"/>
        <v>CH</v>
      </c>
      <c r="D1090" t="s">
        <v>1076</v>
      </c>
      <c r="E1090" t="s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2:11" x14ac:dyDescent="0.35">
      <c r="B1091" s="5" t="str">
        <f t="shared" si="703"/>
        <v>SPS2</v>
      </c>
      <c r="C1091" s="5" t="str">
        <f t="shared" si="691"/>
        <v>CH</v>
      </c>
      <c r="D1091" t="s">
        <v>1077</v>
      </c>
      <c r="E1091" t="s">
        <v>8</v>
      </c>
      <c r="F1091" s="1">
        <f>SUM(F1092,F1096)</f>
        <v>1.3170942466563675</v>
      </c>
      <c r="G1091" s="1">
        <f t="shared" ref="G1091:K1091" si="708">SUM(G1092,G1096)</f>
        <v>1.4633817729688465</v>
      </c>
      <c r="H1091" s="1">
        <f t="shared" si="708"/>
        <v>0.95364550563649431</v>
      </c>
      <c r="I1091" s="1">
        <f t="shared" si="708"/>
        <v>1.4560002196001509</v>
      </c>
      <c r="J1091" s="1">
        <f t="shared" si="708"/>
        <v>1.9738667525882505</v>
      </c>
      <c r="K1091" s="1">
        <f t="shared" si="708"/>
        <v>2.1865172007732525</v>
      </c>
    </row>
    <row r="1092" spans="2:11" x14ac:dyDescent="0.35">
      <c r="B1092" s="5" t="str">
        <f t="shared" si="703"/>
        <v>SPS2</v>
      </c>
      <c r="C1092" s="5" t="str">
        <f t="shared" si="691"/>
        <v>CH</v>
      </c>
      <c r="D1092" t="s">
        <v>1078</v>
      </c>
      <c r="E1092" t="s">
        <v>8</v>
      </c>
      <c r="F1092" s="1">
        <f>[1]Residential!B$238-F1066</f>
        <v>1.6367647217838455E-2</v>
      </c>
      <c r="G1092" s="1">
        <f>[1]Residential!C$238-G1066</f>
        <v>4.3845889647437415E-3</v>
      </c>
      <c r="H1092" s="1">
        <f>[1]Residential!D$238-H1066</f>
        <v>0</v>
      </c>
      <c r="I1092" s="1">
        <f>[1]Residential!E$238-I1066</f>
        <v>0</v>
      </c>
      <c r="J1092" s="1">
        <f>[1]Residential!F$238-J1066</f>
        <v>0</v>
      </c>
      <c r="K1092" s="1">
        <f>[1]Residential!G$238-K1066</f>
        <v>0</v>
      </c>
    </row>
    <row r="1093" spans="2:11" x14ac:dyDescent="0.35">
      <c r="B1093" s="5" t="str">
        <f t="shared" si="703"/>
        <v>SPS2</v>
      </c>
      <c r="C1093" s="5" t="str">
        <f t="shared" si="691"/>
        <v>CH</v>
      </c>
      <c r="D1093" t="s">
        <v>1079</v>
      </c>
      <c r="E1093" t="s">
        <v>8</v>
      </c>
      <c r="F1093" s="1">
        <f>IFERROR(F$1092/F$1041,0)*F1042</f>
        <v>1.5934697946054812E-2</v>
      </c>
      <c r="G1093" s="1">
        <f t="shared" ref="G1093:K1095" si="709">IFERROR(G$1092/G$1041,0)*G1042</f>
        <v>3.983026864723441E-3</v>
      </c>
      <c r="H1093" s="1">
        <f t="shared" si="709"/>
        <v>0</v>
      </c>
      <c r="I1093" s="1">
        <f t="shared" si="709"/>
        <v>0</v>
      </c>
      <c r="J1093" s="1">
        <f t="shared" si="709"/>
        <v>0</v>
      </c>
      <c r="K1093" s="1">
        <f t="shared" si="709"/>
        <v>0</v>
      </c>
    </row>
    <row r="1094" spans="2:11" x14ac:dyDescent="0.35">
      <c r="B1094" s="5" t="str">
        <f t="shared" si="703"/>
        <v>SPS2</v>
      </c>
      <c r="C1094" s="5" t="str">
        <f t="shared" si="691"/>
        <v>CH</v>
      </c>
      <c r="D1094" t="s">
        <v>1080</v>
      </c>
      <c r="E1094" t="s">
        <v>8</v>
      </c>
      <c r="F1094" s="1">
        <f>IFERROR(F$1092/F$1041,0)*F1043</f>
        <v>0</v>
      </c>
      <c r="G1094" s="1">
        <f t="shared" si="709"/>
        <v>0</v>
      </c>
      <c r="H1094" s="1">
        <f t="shared" si="709"/>
        <v>0</v>
      </c>
      <c r="I1094" s="1">
        <f t="shared" si="709"/>
        <v>0</v>
      </c>
      <c r="J1094" s="1">
        <f t="shared" si="709"/>
        <v>0</v>
      </c>
      <c r="K1094" s="1">
        <f t="shared" si="709"/>
        <v>0</v>
      </c>
    </row>
    <row r="1095" spans="2:11" x14ac:dyDescent="0.35">
      <c r="B1095" s="5" t="str">
        <f t="shared" si="703"/>
        <v>SPS2</v>
      </c>
      <c r="C1095" s="5" t="str">
        <f t="shared" si="691"/>
        <v>CH</v>
      </c>
      <c r="D1095" t="s">
        <v>1081</v>
      </c>
      <c r="E1095" t="s">
        <v>8</v>
      </c>
      <c r="F1095" s="1">
        <f>IFERROR(F$1092/F$1041,0)*F1044</f>
        <v>4.3294927178364102E-4</v>
      </c>
      <c r="G1095" s="1">
        <f t="shared" si="709"/>
        <v>4.0156210002030031E-4</v>
      </c>
      <c r="H1095" s="1">
        <f t="shared" si="709"/>
        <v>0</v>
      </c>
      <c r="I1095" s="1">
        <f t="shared" si="709"/>
        <v>0</v>
      </c>
      <c r="J1095" s="1">
        <f t="shared" si="709"/>
        <v>0</v>
      </c>
      <c r="K1095" s="1">
        <f t="shared" si="709"/>
        <v>0</v>
      </c>
    </row>
    <row r="1096" spans="2:11" x14ac:dyDescent="0.35">
      <c r="B1096" s="5" t="str">
        <f t="shared" si="703"/>
        <v>SPS2</v>
      </c>
      <c r="C1096" s="5" t="str">
        <f t="shared" si="691"/>
        <v>CH</v>
      </c>
      <c r="D1096" t="s">
        <v>1082</v>
      </c>
      <c r="E1096" t="s">
        <v>8</v>
      </c>
      <c r="F1096" s="1">
        <f>[1]Residential!B$239-F1070</f>
        <v>1.3007265994385291</v>
      </c>
      <c r="G1096" s="1">
        <f>[1]Residential!C$239-G1070</f>
        <v>1.4589971840041027</v>
      </c>
      <c r="H1096" s="1">
        <f>[1]Residential!D$239-H1070</f>
        <v>0.95364550563649431</v>
      </c>
      <c r="I1096" s="1">
        <f>[1]Residential!E$239-I1070</f>
        <v>1.4560002196001509</v>
      </c>
      <c r="J1096" s="1">
        <f>[1]Residential!F$239-J1070</f>
        <v>1.9738667525882505</v>
      </c>
      <c r="K1096" s="1">
        <f>[1]Residential!G$239-K1070</f>
        <v>2.1865172007732525</v>
      </c>
    </row>
    <row r="1097" spans="2:11" x14ac:dyDescent="0.35">
      <c r="B1097" s="5" t="str">
        <f t="shared" si="703"/>
        <v>SPS2</v>
      </c>
      <c r="C1097" s="5" t="str">
        <f t="shared" si="691"/>
        <v>CH</v>
      </c>
      <c r="D1097" t="s">
        <v>1083</v>
      </c>
      <c r="E1097" t="s">
        <v>8</v>
      </c>
      <c r="F1097" s="1">
        <f>F1098</f>
        <v>0.52049754699814166</v>
      </c>
      <c r="G1097" s="1">
        <f t="shared" ref="G1097:K1097" si="710">G1098</f>
        <v>0.59726538451389999</v>
      </c>
      <c r="H1097" s="1">
        <f t="shared" si="710"/>
        <v>1.2211204630642154</v>
      </c>
      <c r="I1097" s="1">
        <f t="shared" si="710"/>
        <v>1.2038061341949611</v>
      </c>
      <c r="J1097" s="1">
        <f t="shared" si="710"/>
        <v>1.0676337992685081</v>
      </c>
      <c r="K1097" s="1">
        <f t="shared" si="710"/>
        <v>0.85436607873861981</v>
      </c>
    </row>
    <row r="1098" spans="2:11" x14ac:dyDescent="0.35">
      <c r="B1098" s="5" t="str">
        <f t="shared" si="703"/>
        <v>SPS2</v>
      </c>
      <c r="C1098" s="5" t="str">
        <f t="shared" si="691"/>
        <v>CH</v>
      </c>
      <c r="D1098" t="s">
        <v>1084</v>
      </c>
      <c r="E1098" t="s">
        <v>8</v>
      </c>
      <c r="F1098" s="1">
        <f>[1]Residential!B$240-F1072</f>
        <v>0.52049754699814166</v>
      </c>
      <c r="G1098" s="1">
        <f>[1]Residential!C$240-G1072</f>
        <v>0.59726538451389999</v>
      </c>
      <c r="H1098" s="1">
        <f>[1]Residential!D$240-H1072</f>
        <v>1.2211204630642154</v>
      </c>
      <c r="I1098" s="1">
        <f>[1]Residential!E$240-I1072</f>
        <v>1.2038061341949611</v>
      </c>
      <c r="J1098" s="1">
        <f>[1]Residential!F$240-J1072</f>
        <v>1.0676337992685081</v>
      </c>
      <c r="K1098" s="1">
        <f>[1]Residential!G$240-K1072</f>
        <v>0.85436607873861981</v>
      </c>
    </row>
    <row r="1099" spans="2:11" x14ac:dyDescent="0.35">
      <c r="B1099" s="5" t="str">
        <f t="shared" si="703"/>
        <v>SPS2</v>
      </c>
      <c r="C1099" s="5" t="str">
        <f t="shared" si="691"/>
        <v>CH</v>
      </c>
      <c r="D1099" t="s">
        <v>1085</v>
      </c>
      <c r="E1099" t="s">
        <v>8</v>
      </c>
      <c r="F1099" s="1">
        <f>F1100</f>
        <v>0.16982874439016404</v>
      </c>
      <c r="G1099" s="1">
        <f t="shared" ref="G1099" si="711">G1100</f>
        <v>0.19484616605464611</v>
      </c>
      <c r="H1099" s="1">
        <f t="shared" ref="H1099" si="712">H1100</f>
        <v>7.6906050633049783E-2</v>
      </c>
      <c r="I1099" s="1">
        <f t="shared" ref="I1099" si="713">I1100</f>
        <v>0.10327755888469542</v>
      </c>
      <c r="J1099" s="1">
        <f t="shared" ref="J1099" si="714">J1100</f>
        <v>0.133250449850422</v>
      </c>
      <c r="K1099" s="1">
        <f t="shared" ref="K1099" si="715">K1100</f>
        <v>0.13502230071552135</v>
      </c>
    </row>
    <row r="1100" spans="2:11" x14ac:dyDescent="0.35">
      <c r="B1100" s="5" t="str">
        <f t="shared" si="703"/>
        <v>SPS2</v>
      </c>
      <c r="C1100" s="5" t="str">
        <f t="shared" si="691"/>
        <v>CH</v>
      </c>
      <c r="D1100" t="s">
        <v>1086</v>
      </c>
      <c r="E1100" t="s">
        <v>8</v>
      </c>
      <c r="F1100" s="1">
        <f>[1]Residential!B$241-F1074</f>
        <v>0.16982874439016404</v>
      </c>
      <c r="G1100" s="1">
        <f>[1]Residential!C$241-G1074</f>
        <v>0.19484616605464611</v>
      </c>
      <c r="H1100" s="1">
        <f>[1]Residential!D$241-H1074</f>
        <v>7.6906050633049783E-2</v>
      </c>
      <c r="I1100" s="1">
        <f>[1]Residential!E$241-I1074</f>
        <v>0.10327755888469542</v>
      </c>
      <c r="J1100" s="1">
        <f>[1]Residential!F$241-J1074</f>
        <v>0.133250449850422</v>
      </c>
      <c r="K1100" s="1">
        <f>[1]Residential!G$241-K1074</f>
        <v>0.13502230071552135</v>
      </c>
    </row>
    <row r="1101" spans="2:11" x14ac:dyDescent="0.35">
      <c r="B1101" s="5" t="str">
        <f t="shared" si="703"/>
        <v>SPS2</v>
      </c>
      <c r="C1101" s="5" t="str">
        <f t="shared" si="691"/>
        <v>CH</v>
      </c>
      <c r="D1101" t="s">
        <v>1087</v>
      </c>
      <c r="E1101" t="s">
        <v>8</v>
      </c>
      <c r="F1101" s="1">
        <f>F1102</f>
        <v>1.7214880246598512</v>
      </c>
      <c r="G1101" s="1">
        <f t="shared" ref="G1101" si="716">G1102</f>
        <v>1.9868120746672417</v>
      </c>
      <c r="H1101" s="1">
        <f t="shared" ref="H1101" si="717">H1102</f>
        <v>0.93117036878641524</v>
      </c>
      <c r="I1101" s="1">
        <f t="shared" ref="I1101" si="718">I1102</f>
        <v>1.0613176498335499</v>
      </c>
      <c r="J1101" s="1">
        <f t="shared" ref="J1101" si="719">J1102</f>
        <v>1.219518594686827</v>
      </c>
      <c r="K1101" s="1">
        <f t="shared" ref="K1101" si="720">K1102</f>
        <v>1.2277373140077195</v>
      </c>
    </row>
    <row r="1102" spans="2:11" x14ac:dyDescent="0.35">
      <c r="B1102" s="5" t="str">
        <f t="shared" si="703"/>
        <v>SPS2</v>
      </c>
      <c r="C1102" s="5" t="str">
        <f t="shared" si="691"/>
        <v>CH</v>
      </c>
      <c r="D1102" t="s">
        <v>1088</v>
      </c>
      <c r="E1102" t="s">
        <v>8</v>
      </c>
      <c r="F1102" s="1">
        <f>[1]Residential!B$242-F1076</f>
        <v>1.7214880246598512</v>
      </c>
      <c r="G1102" s="1">
        <f>[1]Residential!C$242-G1076</f>
        <v>1.9868120746672417</v>
      </c>
      <c r="H1102" s="1">
        <f>[1]Residential!D$242-H1076</f>
        <v>0.93117036878641524</v>
      </c>
      <c r="I1102" s="1">
        <f>[1]Residential!E$242-I1076</f>
        <v>1.0613176498335499</v>
      </c>
      <c r="J1102" s="1">
        <f>[1]Residential!F$242-J1076</f>
        <v>1.219518594686827</v>
      </c>
      <c r="K1102" s="1">
        <f>[1]Residential!G$242-K1076</f>
        <v>1.2277373140077195</v>
      </c>
    </row>
    <row r="1103" spans="2:11" x14ac:dyDescent="0.35">
      <c r="B1103" s="5" t="str">
        <f t="shared" si="703"/>
        <v>SPS2</v>
      </c>
      <c r="C1103" s="5" t="str">
        <f t="shared" si="691"/>
        <v>CH</v>
      </c>
      <c r="D1103" t="s">
        <v>1089</v>
      </c>
      <c r="E1103" t="s">
        <v>8</v>
      </c>
      <c r="F1103" s="1">
        <f>F1104</f>
        <v>0</v>
      </c>
      <c r="G1103" s="1">
        <f t="shared" ref="G1103" si="721">G1104</f>
        <v>0</v>
      </c>
      <c r="H1103" s="1">
        <f t="shared" ref="H1103" si="722">H1104</f>
        <v>0</v>
      </c>
      <c r="I1103" s="1">
        <f t="shared" ref="I1103" si="723">I1104</f>
        <v>0</v>
      </c>
      <c r="J1103" s="1">
        <f t="shared" ref="J1103" si="724">J1104</f>
        <v>0</v>
      </c>
      <c r="K1103" s="1">
        <f t="shared" ref="K1103" si="725">K1104</f>
        <v>0</v>
      </c>
    </row>
    <row r="1104" spans="2:11" x14ac:dyDescent="0.35">
      <c r="B1104" s="5" t="str">
        <f t="shared" si="703"/>
        <v>SPS2</v>
      </c>
      <c r="C1104" s="5" t="str">
        <f t="shared" si="691"/>
        <v>CH</v>
      </c>
      <c r="D1104" t="s">
        <v>1090</v>
      </c>
      <c r="E1104" t="s">
        <v>8</v>
      </c>
      <c r="F1104" s="1">
        <f>[1]Residential!B$243-F1078</f>
        <v>0</v>
      </c>
      <c r="G1104" s="1">
        <f>[1]Residential!C$243-G1078</f>
        <v>0</v>
      </c>
      <c r="H1104" s="1">
        <f>[1]Residential!D$243-H1078</f>
        <v>0</v>
      </c>
      <c r="I1104" s="1">
        <f>[1]Residential!E$243-I1078</f>
        <v>0</v>
      </c>
      <c r="J1104" s="1">
        <f>[1]Residential!F$243-J1078</f>
        <v>0</v>
      </c>
      <c r="K1104" s="1">
        <f>[1]Residential!G$243-K1078</f>
        <v>0</v>
      </c>
    </row>
    <row r="1105" spans="2:11" x14ac:dyDescent="0.35">
      <c r="B1105" s="5" t="str">
        <f t="shared" si="703"/>
        <v>SPS2</v>
      </c>
      <c r="C1105" s="5" t="str">
        <f t="shared" si="691"/>
        <v>CH</v>
      </c>
      <c r="D1105" t="s">
        <v>1091</v>
      </c>
      <c r="E1105" t="s">
        <v>8</v>
      </c>
      <c r="F1105" s="1">
        <f>[1]Residential!B$244-F1079</f>
        <v>0</v>
      </c>
      <c r="G1105" s="1">
        <f>[1]Residential!C$244-G1079</f>
        <v>0</v>
      </c>
      <c r="H1105" s="1">
        <f>[1]Residential!D$244-H1079</f>
        <v>0</v>
      </c>
      <c r="I1105" s="1">
        <f>[1]Residential!E$244-I1079</f>
        <v>0</v>
      </c>
      <c r="J1105" s="1">
        <f>[1]Residential!F$244-J1079</f>
        <v>0</v>
      </c>
      <c r="K1105" s="1">
        <f>[1]Residential!G$244-K1079</f>
        <v>0</v>
      </c>
    </row>
    <row r="1106" spans="2:11" x14ac:dyDescent="0.35">
      <c r="B1106" s="5" t="str">
        <f t="shared" si="703"/>
        <v>SPS2</v>
      </c>
      <c r="C1106" s="5" t="str">
        <f t="shared" ref="C1106:C1133" si="726">C1105</f>
        <v>CH</v>
      </c>
      <c r="D1106" s="2" t="s">
        <v>1092</v>
      </c>
      <c r="E1106" s="2" t="s">
        <v>240</v>
      </c>
      <c r="F1106" t="s">
        <v>292</v>
      </c>
      <c r="G1106" t="s">
        <v>292</v>
      </c>
      <c r="H1106" t="s">
        <v>292</v>
      </c>
      <c r="I1106" t="s">
        <v>292</v>
      </c>
      <c r="J1106" t="s">
        <v>292</v>
      </c>
      <c r="K1106" t="s">
        <v>292</v>
      </c>
    </row>
    <row r="1107" spans="2:11" x14ac:dyDescent="0.35">
      <c r="B1107" s="5" t="str">
        <f t="shared" si="703"/>
        <v>SPS2</v>
      </c>
      <c r="C1107" s="5" t="str">
        <f>C1106</f>
        <v>CH</v>
      </c>
      <c r="D1107" t="s">
        <v>1122</v>
      </c>
      <c r="E1107" t="s">
        <v>240</v>
      </c>
      <c r="F1107" s="4">
        <f>IFERROR(F1056/F973,"-")</f>
        <v>0.95</v>
      </c>
      <c r="G1107" s="4">
        <f t="shared" ref="G1107:K1108" si="727">IFERROR(G1056/G973,"-")</f>
        <v>0.94999999999999951</v>
      </c>
      <c r="H1107" s="4">
        <f t="shared" si="727"/>
        <v>0.91776263275717385</v>
      </c>
      <c r="I1107" s="4">
        <f t="shared" si="727"/>
        <v>0.91927188036562368</v>
      </c>
      <c r="J1107" s="4">
        <f t="shared" si="727"/>
        <v>0.94257636748895179</v>
      </c>
      <c r="K1107" s="4">
        <f t="shared" si="727"/>
        <v>0.94499229724868428</v>
      </c>
    </row>
    <row r="1108" spans="2:11" x14ac:dyDescent="0.35">
      <c r="B1108" s="5" t="str">
        <f t="shared" si="703"/>
        <v>SPS2</v>
      </c>
      <c r="C1108" s="5" t="str">
        <f t="shared" si="726"/>
        <v>CH</v>
      </c>
      <c r="D1108" t="s">
        <v>1123</v>
      </c>
      <c r="E1108" t="s">
        <v>240</v>
      </c>
      <c r="F1108" s="4">
        <f>IFERROR(F1057/F974,"-")</f>
        <v>3.1999999999999984</v>
      </c>
      <c r="G1108" s="4">
        <f t="shared" si="727"/>
        <v>3.2533333333333307</v>
      </c>
      <c r="H1108" s="4">
        <f t="shared" si="727"/>
        <v>2.977529218351568</v>
      </c>
      <c r="I1108" s="4">
        <f t="shared" si="727"/>
        <v>3.2439187587060605</v>
      </c>
      <c r="J1108" s="4">
        <f t="shared" si="727"/>
        <v>3.650116633064366</v>
      </c>
      <c r="K1108" s="4">
        <f t="shared" si="727"/>
        <v>4.0621239930221051</v>
      </c>
    </row>
    <row r="1109" spans="2:11" x14ac:dyDescent="0.35">
      <c r="B1109" s="5" t="str">
        <f t="shared" si="703"/>
        <v>SPS2</v>
      </c>
      <c r="C1109" s="5" t="str">
        <f t="shared" si="726"/>
        <v>CH</v>
      </c>
      <c r="D1109" t="s">
        <v>1093</v>
      </c>
      <c r="E1109" t="s">
        <v>240</v>
      </c>
      <c r="F1109" s="4">
        <f>IFERROR(F1059/F983,"-")</f>
        <v>0.89583333333333381</v>
      </c>
      <c r="G1109" s="4">
        <f t="shared" ref="G1109:K1109" si="728">IFERROR(G1059/G983,"-")</f>
        <v>0.89583333333333359</v>
      </c>
      <c r="H1109" s="4">
        <f t="shared" si="728"/>
        <v>0.85397985154098466</v>
      </c>
      <c r="I1109" s="4">
        <f t="shared" si="728"/>
        <v>0.86943650390209615</v>
      </c>
      <c r="J1109" s="4">
        <f t="shared" si="728"/>
        <v>0.87116567825685309</v>
      </c>
      <c r="K1109" s="4">
        <f t="shared" si="728"/>
        <v>0.87311699615306537</v>
      </c>
    </row>
    <row r="1110" spans="2:11" x14ac:dyDescent="0.35">
      <c r="B1110" s="5" t="str">
        <f t="shared" si="703"/>
        <v>SPS2</v>
      </c>
      <c r="C1110" s="5" t="str">
        <f t="shared" si="726"/>
        <v>CH</v>
      </c>
      <c r="D1110" t="s">
        <v>1094</v>
      </c>
      <c r="E1110" t="s">
        <v>240</v>
      </c>
      <c r="F1110" s="4">
        <f>IFERROR(F1061/F996,"-")</f>
        <v>0.95000000000000073</v>
      </c>
      <c r="G1110" s="4">
        <f t="shared" ref="G1110:K1110" si="729">IFERROR(G1061/G996,"-")</f>
        <v>0.95</v>
      </c>
      <c r="H1110" s="4">
        <f t="shared" si="729"/>
        <v>0.93460508743790183</v>
      </c>
      <c r="I1110" s="4">
        <f t="shared" si="729"/>
        <v>0.93484537024679559</v>
      </c>
      <c r="J1110" s="4">
        <f t="shared" si="729"/>
        <v>0.93410237524556128</v>
      </c>
      <c r="K1110" s="4">
        <f t="shared" si="729"/>
        <v>0.94073941497662106</v>
      </c>
    </row>
    <row r="1111" spans="2:11" x14ac:dyDescent="0.35">
      <c r="B1111" s="5" t="str">
        <f t="shared" si="703"/>
        <v>SPS2</v>
      </c>
      <c r="C1111" s="5" t="str">
        <f t="shared" si="726"/>
        <v>CH</v>
      </c>
      <c r="D1111" t="s">
        <v>1095</v>
      </c>
      <c r="E1111" t="s">
        <v>240</v>
      </c>
      <c r="F1111" s="4" t="str">
        <f>IFERROR(F1062/F997,"-")</f>
        <v>-</v>
      </c>
      <c r="G1111" s="4" t="str">
        <f t="shared" ref="G1111:K1111" si="730">IFERROR(G1062/G997,"-")</f>
        <v>-</v>
      </c>
      <c r="H1111" s="4">
        <f t="shared" si="730"/>
        <v>1.8648108278480895</v>
      </c>
      <c r="I1111" s="4">
        <f t="shared" si="730"/>
        <v>1.9409595093532295</v>
      </c>
      <c r="J1111" s="4">
        <f t="shared" si="730"/>
        <v>1.9984052529867018</v>
      </c>
      <c r="K1111" s="4">
        <f t="shared" si="730"/>
        <v>2.1086585837209877</v>
      </c>
    </row>
    <row r="1112" spans="2:11" x14ac:dyDescent="0.35">
      <c r="B1112" s="5" t="str">
        <f t="shared" si="703"/>
        <v>SPS2</v>
      </c>
      <c r="C1112" s="5" t="str">
        <f t="shared" si="726"/>
        <v>CH</v>
      </c>
      <c r="D1112" t="s">
        <v>1096</v>
      </c>
      <c r="E1112" t="s">
        <v>240</v>
      </c>
      <c r="F1112" s="4">
        <f>IFERROR(F1064/F1015,"-")</f>
        <v>0.71999999999999964</v>
      </c>
      <c r="G1112" s="4">
        <f t="shared" ref="G1112:K1112" si="731">IFERROR(G1064/G1015,"-")</f>
        <v>0.7200000000000002</v>
      </c>
      <c r="H1112" s="4">
        <f t="shared" si="731"/>
        <v>0.79930067180127851</v>
      </c>
      <c r="I1112" s="4">
        <f t="shared" si="731"/>
        <v>0.79999999999999971</v>
      </c>
      <c r="J1112" s="4" t="str">
        <f t="shared" si="731"/>
        <v>-</v>
      </c>
      <c r="K1112" s="4" t="str">
        <f t="shared" si="731"/>
        <v>-</v>
      </c>
    </row>
    <row r="1113" spans="2:11" x14ac:dyDescent="0.35">
      <c r="B1113" s="5" t="str">
        <f t="shared" si="703"/>
        <v>SPS2</v>
      </c>
      <c r="C1113" s="5" t="str">
        <f t="shared" si="726"/>
        <v>CH</v>
      </c>
      <c r="D1113" t="s">
        <v>1097</v>
      </c>
      <c r="E1113" t="s">
        <v>240</v>
      </c>
      <c r="F1113" s="4">
        <v>0.99</v>
      </c>
      <c r="G1113" s="4">
        <v>0.99</v>
      </c>
      <c r="H1113" s="4">
        <v>0.99</v>
      </c>
      <c r="I1113" s="4">
        <v>0.99</v>
      </c>
      <c r="J1113" s="4">
        <v>0.99</v>
      </c>
      <c r="K1113" s="4">
        <v>0.99</v>
      </c>
    </row>
    <row r="1114" spans="2:11" x14ac:dyDescent="0.35">
      <c r="B1114" s="5" t="str">
        <f t="shared" si="703"/>
        <v>SPS2</v>
      </c>
      <c r="C1114" s="5" t="str">
        <f t="shared" si="726"/>
        <v>CH</v>
      </c>
      <c r="D1114" t="s">
        <v>1098</v>
      </c>
      <c r="E1114" t="s">
        <v>240</v>
      </c>
      <c r="F1114" s="4">
        <v>0.99</v>
      </c>
      <c r="G1114" s="4">
        <v>0.99</v>
      </c>
      <c r="H1114" s="4">
        <v>0.99</v>
      </c>
      <c r="I1114" s="4">
        <v>0.99</v>
      </c>
      <c r="J1114" s="4">
        <v>0.99</v>
      </c>
      <c r="K1114" s="4">
        <v>0.99</v>
      </c>
    </row>
    <row r="1115" spans="2:11" x14ac:dyDescent="0.35">
      <c r="B1115" s="5" t="str">
        <f t="shared" si="703"/>
        <v>SPS2</v>
      </c>
      <c r="C1115" s="5" t="str">
        <f t="shared" si="726"/>
        <v>CH</v>
      </c>
      <c r="D1115" t="s">
        <v>1099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</row>
    <row r="1116" spans="2:11" x14ac:dyDescent="0.35">
      <c r="B1116" s="5" t="str">
        <f t="shared" si="703"/>
        <v>SPS2</v>
      </c>
      <c r="C1116" s="5" t="str">
        <f t="shared" si="726"/>
        <v>CH</v>
      </c>
      <c r="D1116" t="s">
        <v>1100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</row>
    <row r="1117" spans="2:11" x14ac:dyDescent="0.35">
      <c r="B1117" s="5" t="str">
        <f t="shared" si="703"/>
        <v>SPS2</v>
      </c>
      <c r="C1117" s="5" t="str">
        <f t="shared" si="726"/>
        <v>CH</v>
      </c>
      <c r="D1117" t="s">
        <v>1101</v>
      </c>
      <c r="E1117" t="s">
        <v>240</v>
      </c>
      <c r="F1117" s="4">
        <f>IFERROR(F1072/F1020,"-")</f>
        <v>0.72000000000000008</v>
      </c>
      <c r="G1117" s="4">
        <f t="shared" ref="G1117:K1117" si="732">IFERROR(G1072/G1020,"-")</f>
        <v>0.71999999999999953</v>
      </c>
      <c r="H1117" s="4">
        <f t="shared" si="732"/>
        <v>0.71887292461185603</v>
      </c>
      <c r="I1117" s="4">
        <f t="shared" si="732"/>
        <v>0.72546417996342627</v>
      </c>
      <c r="J1117" s="4">
        <f t="shared" si="732"/>
        <v>0.73012113360775721</v>
      </c>
      <c r="K1117" s="4">
        <f t="shared" si="732"/>
        <v>0.75381028004545381</v>
      </c>
    </row>
    <row r="1118" spans="2:11" x14ac:dyDescent="0.35">
      <c r="B1118" s="5" t="str">
        <f t="shared" si="703"/>
        <v>SPS2</v>
      </c>
      <c r="C1118" s="5" t="str">
        <f t="shared" si="726"/>
        <v>CH</v>
      </c>
      <c r="D1118" t="s">
        <v>1102</v>
      </c>
      <c r="E1118" t="s">
        <v>240</v>
      </c>
      <c r="F1118" s="4">
        <f>IFERROR(F1074/F1025,"-")</f>
        <v>0.90000000000000024</v>
      </c>
      <c r="G1118" s="4">
        <f t="shared" ref="G1118:K1118" si="733">IFERROR(G1074/G1025,"-")</f>
        <v>0.89999999999999969</v>
      </c>
      <c r="H1118" s="4">
        <f t="shared" si="733"/>
        <v>0.73268261353673891</v>
      </c>
      <c r="I1118" s="4">
        <f t="shared" si="733"/>
        <v>0.73447571673764078</v>
      </c>
      <c r="J1118" s="4">
        <f t="shared" si="733"/>
        <v>0.7410431902909439</v>
      </c>
      <c r="K1118" s="4">
        <f t="shared" si="733"/>
        <v>0.75308042184728519</v>
      </c>
    </row>
    <row r="1119" spans="2:11" x14ac:dyDescent="0.35">
      <c r="B1119" s="5" t="str">
        <f t="shared" si="703"/>
        <v>SPS2</v>
      </c>
      <c r="C1119" s="5" t="str">
        <f t="shared" si="726"/>
        <v>CH</v>
      </c>
      <c r="D1119" t="s">
        <v>1103</v>
      </c>
      <c r="E1119" t="s">
        <v>240</v>
      </c>
      <c r="F1119" s="4">
        <v>1</v>
      </c>
      <c r="G1119" s="4">
        <v>1</v>
      </c>
      <c r="H1119" s="4">
        <v>1</v>
      </c>
      <c r="I1119" s="4">
        <v>1</v>
      </c>
      <c r="J1119" s="4">
        <v>1</v>
      </c>
      <c r="K1119" s="4">
        <v>1</v>
      </c>
    </row>
    <row r="1120" spans="2:11" x14ac:dyDescent="0.35">
      <c r="B1120" s="5" t="str">
        <f t="shared" si="703"/>
        <v>SPS2</v>
      </c>
      <c r="C1120" s="5" t="str">
        <f t="shared" si="726"/>
        <v>CH</v>
      </c>
      <c r="D1120" t="s">
        <v>1104</v>
      </c>
      <c r="E1120" t="s">
        <v>240</v>
      </c>
      <c r="F1120" s="4" t="str">
        <f>IFERROR(F1078/F1037,"-")</f>
        <v>-</v>
      </c>
      <c r="G1120" s="4" t="str">
        <f t="shared" ref="G1120:K1120" si="734">IFERROR(G1078/G1037,"-")</f>
        <v>-</v>
      </c>
      <c r="H1120" s="4" t="str">
        <f t="shared" si="734"/>
        <v>-</v>
      </c>
      <c r="I1120" s="4" t="str">
        <f t="shared" si="734"/>
        <v>-</v>
      </c>
      <c r="J1120" s="4" t="str">
        <f t="shared" si="734"/>
        <v>-</v>
      </c>
      <c r="K1120" s="4" t="str">
        <f t="shared" si="734"/>
        <v>-</v>
      </c>
    </row>
    <row r="1121" spans="2:11" x14ac:dyDescent="0.35">
      <c r="B1121" s="5" t="str">
        <f t="shared" si="703"/>
        <v>SPS2</v>
      </c>
      <c r="C1121" s="5" t="str">
        <f t="shared" si="726"/>
        <v>CH</v>
      </c>
      <c r="D1121" t="s">
        <v>1124</v>
      </c>
      <c r="E1121" t="s">
        <v>240</v>
      </c>
      <c r="F1121" s="4">
        <f>IFERROR(F1082/F976,"-")</f>
        <v>0.78999999999999981</v>
      </c>
      <c r="G1121" s="4">
        <f t="shared" ref="G1121:K1122" si="735">IFERROR(G1082/G976,"-")</f>
        <v>0.79200000000000015</v>
      </c>
      <c r="H1121" s="4">
        <f t="shared" si="735"/>
        <v>0.46575484162612912</v>
      </c>
      <c r="I1121" s="4">
        <f t="shared" si="735"/>
        <v>0.48522243178328395</v>
      </c>
      <c r="J1121" s="4">
        <f t="shared" si="735"/>
        <v>0.50462042003036056</v>
      </c>
      <c r="K1121" s="4">
        <f t="shared" si="735"/>
        <v>0.51937170448964221</v>
      </c>
    </row>
    <row r="1122" spans="2:11" x14ac:dyDescent="0.35">
      <c r="B1122" s="5" t="str">
        <f t="shared" si="703"/>
        <v>SPS2</v>
      </c>
      <c r="C1122" s="5" t="str">
        <f t="shared" si="726"/>
        <v>CH</v>
      </c>
      <c r="D1122" t="s">
        <v>1125</v>
      </c>
      <c r="E1122" t="s">
        <v>240</v>
      </c>
      <c r="F1122" s="4">
        <f>IFERROR(F1083/F977,"-")</f>
        <v>2.8199999999999976</v>
      </c>
      <c r="G1122" s="4">
        <f t="shared" si="735"/>
        <v>2.8259999999999996</v>
      </c>
      <c r="H1122" s="4">
        <f t="shared" si="735"/>
        <v>1.8798808389501593</v>
      </c>
      <c r="I1122" s="4">
        <f t="shared" si="735"/>
        <v>2.0930480317104512</v>
      </c>
      <c r="J1122" s="4">
        <f t="shared" si="735"/>
        <v>2.4161158520998613</v>
      </c>
      <c r="K1122" s="4">
        <f t="shared" si="735"/>
        <v>2.7254272760673475</v>
      </c>
    </row>
    <row r="1123" spans="2:11" x14ac:dyDescent="0.35">
      <c r="B1123" s="5" t="str">
        <f t="shared" si="703"/>
        <v>SPS2</v>
      </c>
      <c r="C1123" s="5" t="str">
        <f t="shared" si="726"/>
        <v>CH</v>
      </c>
      <c r="D1123" t="s">
        <v>1105</v>
      </c>
      <c r="E1123" t="s">
        <v>240</v>
      </c>
      <c r="F1123" s="4">
        <f>IFERROR(F1085/F989,"-")</f>
        <v>0.70833333333333315</v>
      </c>
      <c r="G1123" s="4">
        <f t="shared" ref="G1123:K1123" si="736">IFERROR(G1085/G989,"-")</f>
        <v>0.71458333333333313</v>
      </c>
      <c r="H1123" s="4">
        <f t="shared" si="736"/>
        <v>0.50192306259526309</v>
      </c>
      <c r="I1123" s="4">
        <f t="shared" si="736"/>
        <v>0.537993720730225</v>
      </c>
      <c r="J1123" s="4">
        <f t="shared" si="736"/>
        <v>0.55990798979505163</v>
      </c>
      <c r="K1123" s="4">
        <f t="shared" si="736"/>
        <v>0.59116243055516371</v>
      </c>
    </row>
    <row r="1124" spans="2:11" x14ac:dyDescent="0.35">
      <c r="B1124" s="5" t="str">
        <f t="shared" si="703"/>
        <v>SPS2</v>
      </c>
      <c r="C1124" s="5" t="str">
        <f t="shared" si="726"/>
        <v>CH</v>
      </c>
      <c r="D1124" t="s">
        <v>1106</v>
      </c>
      <c r="E1124" t="s">
        <v>240</v>
      </c>
      <c r="F1124" s="4">
        <f>IFERROR(F1087/F1005,"-")</f>
        <v>0.75000000000000022</v>
      </c>
      <c r="G1124" s="4">
        <f t="shared" ref="G1124:K1124" si="737">IFERROR(G1087/G1005,"-")</f>
        <v>0.75400000000000045</v>
      </c>
      <c r="H1124" s="4">
        <f t="shared" si="737"/>
        <v>0.52893012272874262</v>
      </c>
      <c r="I1124" s="4">
        <f t="shared" si="737"/>
        <v>0.55504775310866983</v>
      </c>
      <c r="J1124" s="4">
        <f t="shared" si="737"/>
        <v>0.56818324364525563</v>
      </c>
      <c r="K1124" s="4">
        <f t="shared" si="737"/>
        <v>0.57071228348925918</v>
      </c>
    </row>
    <row r="1125" spans="2:11" x14ac:dyDescent="0.35">
      <c r="B1125" s="5" t="str">
        <f t="shared" si="703"/>
        <v>SPS2</v>
      </c>
      <c r="C1125" s="5" t="str">
        <f t="shared" si="726"/>
        <v>CH</v>
      </c>
      <c r="D1125" t="s">
        <v>1107</v>
      </c>
      <c r="E1125" t="s">
        <v>240</v>
      </c>
      <c r="F1125" s="4" t="str">
        <f>IFERROR(F1088/F1006,"-")</f>
        <v>-</v>
      </c>
      <c r="G1125" s="4" t="str">
        <f t="shared" ref="G1125:K1125" si="738">IFERROR(G1088/G1006,"-")</f>
        <v>-</v>
      </c>
      <c r="H1125" s="4">
        <f t="shared" si="738"/>
        <v>2.0223860195199088</v>
      </c>
      <c r="I1125" s="4">
        <f t="shared" si="738"/>
        <v>2.3070312987935111</v>
      </c>
      <c r="J1125" s="4">
        <f t="shared" si="738"/>
        <v>2.5765405602026994</v>
      </c>
      <c r="K1125" s="4">
        <f t="shared" si="738"/>
        <v>3.101633011198532</v>
      </c>
    </row>
    <row r="1126" spans="2:11" x14ac:dyDescent="0.35">
      <c r="B1126" s="5" t="str">
        <f t="shared" si="703"/>
        <v>SPS2</v>
      </c>
      <c r="C1126" s="5" t="str">
        <f t="shared" si="726"/>
        <v>CH</v>
      </c>
      <c r="D1126" t="s">
        <v>1108</v>
      </c>
      <c r="E1126" t="s">
        <v>240</v>
      </c>
      <c r="F1126" s="4">
        <v>0.77</v>
      </c>
      <c r="G1126" s="4">
        <f>AVERAGE(F1126,H1126)</f>
        <v>0.77500000000000002</v>
      </c>
      <c r="H1126" s="4">
        <v>0.78</v>
      </c>
      <c r="I1126" s="4">
        <v>0.79</v>
      </c>
      <c r="J1126" s="4">
        <v>0.79</v>
      </c>
      <c r="K1126" s="4">
        <v>0.79</v>
      </c>
    </row>
    <row r="1127" spans="2:11" x14ac:dyDescent="0.35">
      <c r="B1127" s="5" t="str">
        <f t="shared" si="703"/>
        <v>SPS2</v>
      </c>
      <c r="C1127" s="5" t="str">
        <f t="shared" si="726"/>
        <v>CH</v>
      </c>
      <c r="D1127" t="s">
        <v>1109</v>
      </c>
      <c r="E1127" t="s">
        <v>240</v>
      </c>
      <c r="F1127" s="4">
        <v>0.77</v>
      </c>
      <c r="G1127" s="4">
        <f>AVERAGE(F1127,H1127)</f>
        <v>0.77500000000000002</v>
      </c>
      <c r="H1127" s="4">
        <v>0.78</v>
      </c>
      <c r="I1127" s="4">
        <v>0.79</v>
      </c>
      <c r="J1127" s="4">
        <v>0.79</v>
      </c>
      <c r="K1127" s="4">
        <v>0.79</v>
      </c>
    </row>
    <row r="1128" spans="2:11" x14ac:dyDescent="0.35">
      <c r="B1128" s="5" t="str">
        <f t="shared" si="703"/>
        <v>SPS2</v>
      </c>
      <c r="C1128" s="5" t="str">
        <f t="shared" si="726"/>
        <v>CH</v>
      </c>
      <c r="D1128" t="s">
        <v>1110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</row>
    <row r="1129" spans="2:11" x14ac:dyDescent="0.35">
      <c r="B1129" s="5" t="str">
        <f t="shared" si="703"/>
        <v>SPS2</v>
      </c>
      <c r="C1129" s="5" t="str">
        <f t="shared" si="726"/>
        <v>CH</v>
      </c>
      <c r="D1129" t="s">
        <v>1111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</row>
    <row r="1130" spans="2:11" x14ac:dyDescent="0.35">
      <c r="B1130" s="5" t="str">
        <f t="shared" si="703"/>
        <v>SPS2</v>
      </c>
      <c r="C1130" s="5" t="str">
        <f t="shared" si="726"/>
        <v>CH</v>
      </c>
      <c r="D1130" t="s">
        <v>1112</v>
      </c>
      <c r="E1130" t="s">
        <v>240</v>
      </c>
      <c r="F1130" s="4">
        <f>IFERROR(F1098/F1022,"-")</f>
        <v>0.50000000000000078</v>
      </c>
      <c r="G1130" s="4">
        <f t="shared" ref="G1130:K1130" si="739">IFERROR(G1098/G1022,"-")</f>
        <v>0.5</v>
      </c>
      <c r="H1130" s="4">
        <f t="shared" si="739"/>
        <v>0.43670141523689726</v>
      </c>
      <c r="I1130" s="4">
        <f t="shared" si="739"/>
        <v>0.45007837407547063</v>
      </c>
      <c r="J1130" s="4">
        <f t="shared" si="739"/>
        <v>0.47231377254292101</v>
      </c>
      <c r="K1130" s="4">
        <f t="shared" si="739"/>
        <v>0.50032858072977271</v>
      </c>
    </row>
    <row r="1131" spans="2:11" x14ac:dyDescent="0.35">
      <c r="B1131" s="5" t="str">
        <f t="shared" si="703"/>
        <v>SPS2</v>
      </c>
      <c r="C1131" s="5" t="str">
        <f t="shared" si="726"/>
        <v>CH</v>
      </c>
      <c r="D1131" t="s">
        <v>1113</v>
      </c>
      <c r="E1131" t="s">
        <v>240</v>
      </c>
      <c r="F1131" s="4">
        <f>IFERROR(F1100/F1027,"-")</f>
        <v>0.62499999999999944</v>
      </c>
      <c r="G1131" s="4">
        <f t="shared" ref="G1131:K1131" si="740">IFERROR(G1100/G1027,"-")</f>
        <v>0.62500000000000067</v>
      </c>
      <c r="H1131" s="4">
        <f t="shared" si="740"/>
        <v>0.45206031043380895</v>
      </c>
      <c r="I1131" s="4">
        <f t="shared" si="740"/>
        <v>0.46182857608536299</v>
      </c>
      <c r="J1131" s="4">
        <f t="shared" si="740"/>
        <v>0.48110819261883703</v>
      </c>
      <c r="K1131" s="4">
        <f t="shared" si="740"/>
        <v>0.50051453634484544</v>
      </c>
    </row>
    <row r="1132" spans="2:11" x14ac:dyDescent="0.35">
      <c r="B1132" s="5" t="str">
        <f t="shared" si="703"/>
        <v>SPS2</v>
      </c>
      <c r="C1132" s="5" t="str">
        <f t="shared" si="726"/>
        <v>CH</v>
      </c>
      <c r="D1132" t="s">
        <v>1114</v>
      </c>
      <c r="E1132" t="s">
        <v>240</v>
      </c>
      <c r="F1132" s="4">
        <v>1</v>
      </c>
      <c r="G1132" s="4">
        <v>1</v>
      </c>
      <c r="H1132" s="4">
        <v>1</v>
      </c>
      <c r="I1132" s="4">
        <v>1</v>
      </c>
      <c r="J1132" s="4">
        <v>1</v>
      </c>
      <c r="K1132" s="4">
        <v>1</v>
      </c>
    </row>
    <row r="1133" spans="2:11" x14ac:dyDescent="0.35">
      <c r="B1133" s="5" t="str">
        <f t="shared" si="703"/>
        <v>SPS2</v>
      </c>
      <c r="C1133" s="5" t="str">
        <f t="shared" si="726"/>
        <v>CH</v>
      </c>
      <c r="D1133" t="s">
        <v>1115</v>
      </c>
      <c r="E1133" t="s">
        <v>240</v>
      </c>
      <c r="F1133" s="4" t="str">
        <f>IFERROR(F1104/F1039,"-")</f>
        <v>-</v>
      </c>
      <c r="G1133" s="4" t="str">
        <f t="shared" ref="G1133:K1133" si="741">IFERROR(G1104/G1039,"-")</f>
        <v>-</v>
      </c>
      <c r="H1133" s="4" t="str">
        <f t="shared" si="741"/>
        <v>-</v>
      </c>
      <c r="I1133" s="4" t="str">
        <f t="shared" si="741"/>
        <v>-</v>
      </c>
      <c r="J1133" s="4" t="str">
        <f t="shared" si="741"/>
        <v>-</v>
      </c>
      <c r="K1133" s="4" t="str">
        <f t="shared" si="741"/>
        <v>-</v>
      </c>
    </row>
    <row r="1134" spans="2:11" x14ac:dyDescent="0.35">
      <c r="B1134" s="9" t="str">
        <f t="shared" si="703"/>
        <v>SPS2</v>
      </c>
      <c r="C1134" s="9" t="str">
        <f>C1133</f>
        <v>CH</v>
      </c>
      <c r="D1134" s="2" t="s">
        <v>1237</v>
      </c>
      <c r="E1134" s="2" t="s">
        <v>8</v>
      </c>
      <c r="F1134" s="3">
        <f t="shared" ref="F1134:K1134" si="742">F1135+F1150+F1155+F1178+F1201</f>
        <v>140.93311464209515</v>
      </c>
      <c r="G1134" s="3">
        <f t="shared" si="742"/>
        <v>134.6120415072684</v>
      </c>
      <c r="H1134" s="3">
        <f t="shared" si="742"/>
        <v>123.53714031720342</v>
      </c>
      <c r="I1134" s="3">
        <f t="shared" si="742"/>
        <v>86.64347154823065</v>
      </c>
      <c r="J1134" s="3">
        <f t="shared" si="742"/>
        <v>52.147610475000768</v>
      </c>
      <c r="K1134" s="3">
        <f t="shared" si="742"/>
        <v>46.898218035886757</v>
      </c>
    </row>
    <row r="1135" spans="2:11" x14ac:dyDescent="0.35">
      <c r="B1135" s="5" t="str">
        <f t="shared" si="703"/>
        <v>SPS2</v>
      </c>
      <c r="C1135" s="5" t="str">
        <f>C1134</f>
        <v>CH</v>
      </c>
      <c r="D1135" t="s">
        <v>1238</v>
      </c>
      <c r="E1135" t="s">
        <v>8</v>
      </c>
      <c r="F1135" s="1">
        <f>SUM(F1136:F1149)</f>
        <v>0.74057121709355089</v>
      </c>
      <c r="G1135" s="1">
        <f t="shared" ref="G1135:K1135" si="743">SUM(G1136:G1149)</f>
        <v>1.7565531616251746</v>
      </c>
      <c r="H1135" s="1">
        <f t="shared" si="743"/>
        <v>4.4226810629429867</v>
      </c>
      <c r="I1135" s="1">
        <f t="shared" si="743"/>
        <v>19.344282935732814</v>
      </c>
      <c r="J1135" s="1">
        <f t="shared" si="743"/>
        <v>40.666688596471204</v>
      </c>
      <c r="K1135" s="1">
        <f t="shared" si="743"/>
        <v>45.888632638281791</v>
      </c>
    </row>
    <row r="1136" spans="2:11" x14ac:dyDescent="0.35">
      <c r="B1136" s="5" t="str">
        <f t="shared" si="703"/>
        <v>SPS2</v>
      </c>
      <c r="C1136" s="5" t="str">
        <f t="shared" ref="C1136:C1215" si="744">C1135</f>
        <v>CH</v>
      </c>
      <c r="D1136" t="s">
        <v>1239</v>
      </c>
      <c r="E1136" t="s">
        <v>8</v>
      </c>
      <c r="F1136" s="1" cm="1">
        <f t="array" ref="F1136">SUMPRODUCT(("T_C-BATELCEXT"=[1]OUT_TransportEnergyCons!$A$3:$A$1000)*1,("Var_Fin"=[1]OUT_TransportEnergyCons!$B$3:$B$1000)*1,ISNUMBER(SEARCH("ELC",[1]OUT_TransportEnergyCons!$C$3:$C$1000))*1,[1]OUT_TransportEnergyCons!D$3:D$1000)</f>
        <v>0.46788107972183463</v>
      </c>
      <c r="G1136" s="1" cm="1">
        <f t="array" ref="G1136">SUMPRODUCT(("T_C-BATELCEXT"=[1]OUT_TransportEnergyCons!$A$3:$A$1000)*1,("Var_Fin"=[1]OUT_TransportEnergyCons!$B$3:$B$1000)*1,ISNUMBER(SEARCH("ELC",[1]OUT_TransportEnergyCons!$C$3:$C$1000))*1,[1]OUT_TransportEnergyCons!E$3:E$1000)</f>
        <v>0.37693537872146082</v>
      </c>
      <c r="H1136" s="1" cm="1">
        <f t="array" ref="H1136">SUMPRODUCT(("T_C-BATELCEXT"=[1]OUT_TransportEnergyCons!$A$3:$A$1000)*1,("Var_Fin"=[1]OUT_TransportEnergyCons!$B$3:$B$1000)*1,ISNUMBER(SEARCH("ELC",[1]OUT_TransportEnergyCons!$C$3:$C$1000))*1,[1]OUT_TransportEnergyCons!F$3:F$1000)</f>
        <v>0.26222457670959515</v>
      </c>
      <c r="I1136" s="1" cm="1">
        <f t="array" ref="I1136">SUMPRODUCT(("T_C-BATELCEXT"=[1]OUT_TransportEnergyCons!$A$3:$A$1000)*1,("Var_Fin"=[1]OUT_TransportEnergyCons!$B$3:$B$1000)*1,ISNUMBER(SEARCH("ELC",[1]OUT_TransportEnergyCons!$C$3:$C$1000))*1,[1]OUT_TransportEnergyCons!G$3:G$1000)</f>
        <v>0.11309625621985243</v>
      </c>
      <c r="J1136" s="1" cm="1">
        <f t="array" ref="J1136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6" s="1" cm="1">
        <f t="array" ref="K1136">SUMPRODUCT(("T_C-BATELCEXT"=[1]OUT_TransportEnergyCons!$A$3:$A$1000)*1,("Var_Fin"=[1]OUT_TransportEnergyCons!$B$3:$B$1000)*1,ISNUMBER(SEARCH("ELC",[1]OUT_TransportEnergyCons!$C$3:$C$1000))*1,[1]OUT_TransportEnergyCons!I$3:I$1000)</f>
        <v>0</v>
      </c>
    </row>
    <row r="1137" spans="2:11" x14ac:dyDescent="0.35">
      <c r="B1137" s="5" t="str">
        <f t="shared" si="703"/>
        <v>SPS2</v>
      </c>
      <c r="C1137" s="5" t="str">
        <f t="shared" si="744"/>
        <v>CH</v>
      </c>
      <c r="D1137" t="s">
        <v>1240</v>
      </c>
      <c r="E1137" t="s">
        <v>8</v>
      </c>
      <c r="F1137" s="1" cm="1">
        <f t="array" ref="F1137">SUMPRODUCT(("T_C-BAT-ELC-S1"=[1]OUT_TransportEnergyCons!$A$3:$A$1000)*1,("Var_Fin"=[1]OUT_TransportEnergyCons!$B$3:$B$1000)*1,ISNUMBER(SEARCH("ELC",[1]OUT_TransportEnergyCons!$C$3:$C$1000))*1,[1]OUT_TransportEnergyCons!D$3:D$1000)</f>
        <v>8.1635173629978405E-3</v>
      </c>
      <c r="G1137" s="1" cm="1">
        <f t="array" ref="G1137">SUMPRODUCT(("T_C-BAT-ELC-S1"=[1]OUT_TransportEnergyCons!$A$3:$A$1000)*1,("Var_Fin"=[1]OUT_TransportEnergyCons!$B$3:$B$1000)*1,ISNUMBER(SEARCH("ELC",[1]OUT_TransportEnergyCons!$C$3:$C$1000))*1,[1]OUT_TransportEnergyCons!E$3:E$1000)</f>
        <v>1.4183833197284057E-2</v>
      </c>
      <c r="H1137" s="1" cm="1">
        <f t="array" ref="H1137">SUMPRODUCT(("T_C-BAT-ELC-S1"=[1]OUT_TransportEnergyCons!$A$3:$A$1000)*1,("Var_Fin"=[1]OUT_TransportEnergyCons!$B$3:$B$1000)*1,ISNUMBER(SEARCH("ELC",[1]OUT_TransportEnergyCons!$C$3:$C$1000))*1,[1]OUT_TransportEnergyCons!F$3:F$1000)</f>
        <v>1.076915751275157E-2</v>
      </c>
      <c r="I1137" s="1" cm="1">
        <f t="array" ref="I1137">SUMPRODUCT(("T_C-BAT-ELC-S1"=[1]OUT_TransportEnergyCons!$A$3:$A$1000)*1,("Var_Fin"=[1]OUT_TransportEnergyCons!$B$3:$B$1000)*1,ISNUMBER(SEARCH("ELC",[1]OUT_TransportEnergyCons!$C$3:$C$1000))*1,[1]OUT_TransportEnergyCons!G$3:G$1000)</f>
        <v>0.54536112848302565</v>
      </c>
      <c r="J1137" s="1" cm="1">
        <f t="array" ref="J1137">SUMPRODUCT(("T_C-BAT-ELC-S1"=[1]OUT_TransportEnergyCons!$A$3:$A$1000)*1,("Var_Fin"=[1]OUT_TransportEnergyCons!$B$3:$B$1000)*1,ISNUMBER(SEARCH("ELC",[1]OUT_TransportEnergyCons!$C$3:$C$1000))*1,[1]OUT_TransportEnergyCons!H$3:H$1000)</f>
        <v>1.2001610322072176</v>
      </c>
      <c r="K1137" s="1" cm="1">
        <f t="array" ref="K1137">SUMPRODUCT(("T_C-BAT-ELC-S1"=[1]OUT_TransportEnergyCons!$A$3:$A$1000)*1,("Var_Fin"=[1]OUT_TransportEnergyCons!$B$3:$B$1000)*1,ISNUMBER(SEARCH("ELC",[1]OUT_TransportEnergyCons!$C$3:$C$1000))*1,[1]OUT_TransportEnergyCons!I$3:I$1000)</f>
        <v>1.1568072983515156</v>
      </c>
    </row>
    <row r="1138" spans="2:11" x14ac:dyDescent="0.35">
      <c r="B1138" s="5" t="str">
        <f t="shared" si="703"/>
        <v>SPS2</v>
      </c>
      <c r="C1138" s="5" t="str">
        <f t="shared" si="744"/>
        <v>CH</v>
      </c>
      <c r="D1138" t="s">
        <v>1241</v>
      </c>
      <c r="E1138" t="s">
        <v>8</v>
      </c>
      <c r="F1138" s="1" cm="1">
        <f t="array" ref="F1138">SUMPRODUCT(("T_C-BAT-ELC-S2"=[1]OUT_TransportEnergyCons!$A$3:$A$1000)*1,("Var_Fin"=[1]OUT_TransportEnergyCons!$B$3:$B$1000)*1,ISNUMBER(SEARCH("ELC",[1]OUT_TransportEnergyCons!$C$3:$C$1000))*1,[1]OUT_TransportEnergyCons!D$3:D$1000)</f>
        <v>6.5580469032219882E-2</v>
      </c>
      <c r="G1138" s="1" cm="1">
        <f t="array" ref="G1138">SUMPRODUCT(("T_C-BAT-ELC-S2"=[1]OUT_TransportEnergyCons!$A$3:$A$1000)*1,("Var_Fin"=[1]OUT_TransportEnergyCons!$B$3:$B$1000)*1,ISNUMBER(SEARCH("ELC",[1]OUT_TransportEnergyCons!$C$3:$C$1000))*1,[1]OUT_TransportEnergyCons!E$3:E$1000)</f>
        <v>0.10747607998470167</v>
      </c>
      <c r="H1138" s="1" cm="1">
        <f t="array" ref="H1138">SUMPRODUCT(("T_C-BAT-ELC-S2"=[1]OUT_TransportEnergyCons!$A$3:$A$1000)*1,("Var_Fin"=[1]OUT_TransportEnergyCons!$B$3:$B$1000)*1,ISNUMBER(SEARCH("ELC",[1]OUT_TransportEnergyCons!$C$3:$C$1000))*1,[1]OUT_TransportEnergyCons!F$3:F$1000)</f>
        <v>0.13131544889856145</v>
      </c>
      <c r="I1138" s="1" cm="1">
        <f t="array" ref="I1138">SUMPRODUCT(("T_C-BAT-ELC-S2"=[1]OUT_TransportEnergyCons!$A$3:$A$1000)*1,("Var_Fin"=[1]OUT_TransportEnergyCons!$B$3:$B$1000)*1,ISNUMBER(SEARCH("ELC",[1]OUT_TransportEnergyCons!$C$3:$C$1000))*1,[1]OUT_TransportEnergyCons!G$3:G$1000)</f>
        <v>4.6268336848971385</v>
      </c>
      <c r="J1138" s="1" cm="1">
        <f t="array" ref="J1138">SUMPRODUCT(("T_C-BAT-ELC-S2"=[1]OUT_TransportEnergyCons!$A$3:$A$1000)*1,("Var_Fin"=[1]OUT_TransportEnergyCons!$B$3:$B$1000)*1,ISNUMBER(SEARCH("ELC",[1]OUT_TransportEnergyCons!$C$3:$C$1000))*1,[1]OUT_TransportEnergyCons!H$3:H$1000)</f>
        <v>11.6038134620302</v>
      </c>
      <c r="K1138" s="1" cm="1">
        <f t="array" ref="K1138">SUMPRODUCT(("T_C-BAT-ELC-S2"=[1]OUT_TransportEnergyCons!$A$3:$A$1000)*1,("Var_Fin"=[1]OUT_TransportEnergyCons!$B$3:$B$1000)*1,ISNUMBER(SEARCH("ELC",[1]OUT_TransportEnergyCons!$C$3:$C$1000))*1,[1]OUT_TransportEnergyCons!I$3:I$1000)</f>
        <v>10.501691696549678</v>
      </c>
    </row>
    <row r="1139" spans="2:11" x14ac:dyDescent="0.35">
      <c r="B1139" s="5" t="str">
        <f t="shared" si="703"/>
        <v>SPS2</v>
      </c>
      <c r="C1139" s="5" t="str">
        <f t="shared" si="744"/>
        <v>CH</v>
      </c>
      <c r="D1139" t="s">
        <v>1242</v>
      </c>
      <c r="E1139" t="s">
        <v>8</v>
      </c>
      <c r="F1139" s="1" cm="1">
        <f t="array" ref="F1139">SUMPRODUCT(("T_C-BAT-ELC-S3"=[1]OUT_TransportEnergyCons!$A$3:$A$1000)*1,("Var_Fin"=[1]OUT_TransportEnergyCons!$B$3:$B$1000)*1,ISNUMBER(SEARCH("ELC",[1]OUT_TransportEnergyCons!$C$3:$C$1000))*1,[1]OUT_TransportEnergyCons!D$3:D$1000)</f>
        <v>4.5326542653987667E-2</v>
      </c>
      <c r="G1139" s="1" cm="1">
        <f t="array" ref="G1139">SUMPRODUCT(("T_C-BAT-ELC-S3"=[1]OUT_TransportEnergyCons!$A$3:$A$1000)*1,("Var_Fin"=[1]OUT_TransportEnergyCons!$B$3:$B$1000)*1,ISNUMBER(SEARCH("ELC",[1]OUT_TransportEnergyCons!$C$3:$C$1000))*1,[1]OUT_TransportEnergyCons!E$3:E$1000)</f>
        <v>9.8929250600507765E-2</v>
      </c>
      <c r="H1139" s="1" cm="1">
        <f t="array" ref="H1139">SUMPRODUCT(("T_C-BAT-ELC-S3"=[1]OUT_TransportEnergyCons!$A$3:$A$1000)*1,("Var_Fin"=[1]OUT_TransportEnergyCons!$B$3:$B$1000)*1,ISNUMBER(SEARCH("ELC",[1]OUT_TransportEnergyCons!$C$3:$C$1000))*1,[1]OUT_TransportEnergyCons!F$3:F$1000)</f>
        <v>0.30342035194230577</v>
      </c>
      <c r="I1139" s="1" cm="1">
        <f t="array" ref="I1139">SUMPRODUCT(("T_C-BAT-ELC-S3"=[1]OUT_TransportEnergyCons!$A$3:$A$1000)*1,("Var_Fin"=[1]OUT_TransportEnergyCons!$B$3:$B$1000)*1,ISNUMBER(SEARCH("ELC",[1]OUT_TransportEnergyCons!$C$3:$C$1000))*1,[1]OUT_TransportEnergyCons!G$3:G$1000)</f>
        <v>0.66852486458496907</v>
      </c>
      <c r="J1139" s="1" cm="1">
        <f t="array" ref="J1139">SUMPRODUCT(("T_C-BAT-ELC-S3"=[1]OUT_TransportEnergyCons!$A$3:$A$1000)*1,("Var_Fin"=[1]OUT_TransportEnergyCons!$B$3:$B$1000)*1,ISNUMBER(SEARCH("ELC",[1]OUT_TransportEnergyCons!$C$3:$C$1000))*1,[1]OUT_TransportEnergyCons!H$3:H$1000)</f>
        <v>4.7790909325055839</v>
      </c>
      <c r="K1139" s="1" cm="1">
        <f t="array" ref="K1139">SUMPRODUCT(("T_C-BAT-ELC-S3"=[1]OUT_TransportEnergyCons!$A$3:$A$1000)*1,("Var_Fin"=[1]OUT_TransportEnergyCons!$B$3:$B$1000)*1,ISNUMBER(SEARCH("ELC",[1]OUT_TransportEnergyCons!$C$3:$C$1000))*1,[1]OUT_TransportEnergyCons!I$3:I$1000)</f>
        <v>9.5225548597280394</v>
      </c>
    </row>
    <row r="1140" spans="2:11" x14ac:dyDescent="0.35">
      <c r="B1140" s="5" t="str">
        <f t="shared" ref="B1140:B1203" si="745">B1139</f>
        <v>SPS2</v>
      </c>
      <c r="C1140" s="5" t="str">
        <f t="shared" si="744"/>
        <v>CH</v>
      </c>
      <c r="D1140" t="s">
        <v>1243</v>
      </c>
      <c r="E1140" t="s">
        <v>8</v>
      </c>
      <c r="F1140" s="1" cm="1">
        <f t="array" ref="F1140">SUMPRODUCT(("T_C-BAT-ELC-S4"=[1]OUT_TransportEnergyCons!$A$3:$A$1000)*1,("Var_Fin"=[1]OUT_TransportEnergyCons!$B$3:$B$1000)*1,ISNUMBER(SEARCH("ELC",[1]OUT_TransportEnergyCons!$C$3:$C$1000))*1,[1]OUT_TransportEnergyCons!D$3:D$1000)</f>
        <v>0.15022060333267953</v>
      </c>
      <c r="G1140" s="1" cm="1">
        <f t="array" ref="G1140">SUMPRODUCT(("T_C-BAT-ELC-S4"=[1]OUT_TransportEnergyCons!$A$3:$A$1000)*1,("Var_Fin"=[1]OUT_TransportEnergyCons!$B$3:$B$1000)*1,ISNUMBER(SEARCH("ELC",[1]OUT_TransportEnergyCons!$C$3:$C$1000))*1,[1]OUT_TransportEnergyCons!E$3:E$1000)</f>
        <v>1.0557513978650235</v>
      </c>
      <c r="H1140" s="1" cm="1">
        <f t="array" ref="H1140">SUMPRODUCT(("T_C-BAT-ELC-S4"=[1]OUT_TransportEnergyCons!$A$3:$A$1000)*1,("Var_Fin"=[1]OUT_TransportEnergyCons!$B$3:$B$1000)*1,ISNUMBER(SEARCH("ELC",[1]OUT_TransportEnergyCons!$C$3:$C$1000))*1,[1]OUT_TransportEnergyCons!F$3:F$1000)</f>
        <v>3.4077294660075377</v>
      </c>
      <c r="I1140" s="1" cm="1">
        <f t="array" ref="I1140">SUMPRODUCT(("T_C-BAT-ELC-S4"=[1]OUT_TransportEnergyCons!$A$3:$A$1000)*1,("Var_Fin"=[1]OUT_TransportEnergyCons!$B$3:$B$1000)*1,ISNUMBER(SEARCH("ELC",[1]OUT_TransportEnergyCons!$C$3:$C$1000))*1,[1]OUT_TransportEnergyCons!G$3:G$1000)</f>
        <v>10.946287725508</v>
      </c>
      <c r="J1140" s="1" cm="1">
        <f t="array" ref="J1140">SUMPRODUCT(("T_C-BAT-ELC-S4"=[1]OUT_TransportEnergyCons!$A$3:$A$1000)*1,("Var_Fin"=[1]OUT_TransportEnergyCons!$B$3:$B$1000)*1,ISNUMBER(SEARCH("ELC",[1]OUT_TransportEnergyCons!$C$3:$C$1000))*1,[1]OUT_TransportEnergyCons!H$3:H$1000)</f>
        <v>16.478677200332232</v>
      </c>
      <c r="K1140" s="1" cm="1">
        <f t="array" ref="K1140">SUMPRODUCT(("T_C-BAT-ELC-S4"=[1]OUT_TransportEnergyCons!$A$3:$A$1000)*1,("Var_Fin"=[1]OUT_TransportEnergyCons!$B$3:$B$1000)*1,ISNUMBER(SEARCH("ELC",[1]OUT_TransportEnergyCons!$C$3:$C$1000))*1,[1]OUT_TransportEnergyCons!I$3:I$1000)</f>
        <v>15.476512533320207</v>
      </c>
    </row>
    <row r="1141" spans="2:11" x14ac:dyDescent="0.35">
      <c r="B1141" s="5" t="str">
        <f t="shared" si="745"/>
        <v>SPS2</v>
      </c>
      <c r="C1141" s="5" t="str">
        <f t="shared" si="744"/>
        <v>CH</v>
      </c>
      <c r="D1141" t="s">
        <v>1244</v>
      </c>
      <c r="E1141" t="s">
        <v>8</v>
      </c>
      <c r="F1141" s="1" cm="1">
        <f t="array" ref="F1141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1" s="1" cm="1">
        <f t="array" ref="G1141">SUMPRODUCT(("T-Plg-elc-gsl_S1"=[1]OUT_TransportEnergyCons!$A$3:$A$1000)*1,("Var_Fin"=[1]OUT_TransportEnergyCons!$B$3:$B$1000)*1,ISNUMBER(SEARCH("ELC",[1]OUT_TransportEnergyCons!$C$3:$C$1000))*1,[1]OUT_TransportEnergyCons!E$3:E$1000)</f>
        <v>1.1208829629257294E-4</v>
      </c>
      <c r="H1141" s="1" cm="1">
        <f t="array" ref="H1141">SUMPRODUCT(("T-Plg-elc-gsl_S1"=[1]OUT_TransportEnergyCons!$A$3:$A$1000)*1,("Var_Fin"=[1]OUT_TransportEnergyCons!$B$3:$B$1000)*1,ISNUMBER(SEARCH("ELC",[1]OUT_TransportEnergyCons!$C$3:$C$1000))*1,[1]OUT_TransportEnergyCons!F$3:F$1000)</f>
        <v>1.712480554263814E-4</v>
      </c>
      <c r="I1141" s="1" cm="1">
        <f t="array" ref="I1141">SUMPRODUCT(("T-Plg-elc-gsl_S1"=[1]OUT_TransportEnergyCons!$A$3:$A$1000)*1,("Var_Fin"=[1]OUT_TransportEnergyCons!$B$3:$B$1000)*1,ISNUMBER(SEARCH("ELC",[1]OUT_TransportEnergyCons!$C$3:$C$1000))*1,[1]OUT_TransportEnergyCons!G$3:G$1000)</f>
        <v>9.3679281999454642E-4</v>
      </c>
      <c r="J1141" s="1" cm="1">
        <f t="array" ref="J1141">SUMPRODUCT(("T-Plg-elc-gsl_S1"=[1]OUT_TransportEnergyCons!$A$3:$A$1000)*1,("Var_Fin"=[1]OUT_TransportEnergyCons!$B$3:$B$1000)*1,ISNUMBER(SEARCH("ELC",[1]OUT_TransportEnergyCons!$C$3:$C$1000))*1,[1]OUT_TransportEnergyCons!H$3:H$1000)</f>
        <v>1.171233571790668E-3</v>
      </c>
      <c r="K1141" s="1" cm="1">
        <f t="array" ref="K1141">SUMPRODUCT(("T-Plg-elc-gsl_S1"=[1]OUT_TransportEnergyCons!$A$3:$A$1000)*1,("Var_Fin"=[1]OUT_TransportEnergyCons!$B$3:$B$1000)*1,ISNUMBER(SEARCH("ELC",[1]OUT_TransportEnergyCons!$C$3:$C$1000))*1,[1]OUT_TransportEnergyCons!I$3:I$1000)</f>
        <v>2.8853352180365031E-4</v>
      </c>
    </row>
    <row r="1142" spans="2:11" x14ac:dyDescent="0.35">
      <c r="B1142" s="5" t="str">
        <f t="shared" si="745"/>
        <v>SPS2</v>
      </c>
      <c r="C1142" s="5" t="str">
        <f t="shared" si="744"/>
        <v>CH</v>
      </c>
      <c r="D1142" t="s">
        <v>1245</v>
      </c>
      <c r="E1142" t="s">
        <v>8</v>
      </c>
      <c r="F1142" s="1" cm="1">
        <f t="array" ref="F1142">SUMPRODUCT(("T-Plg-elc-gsl_S2"=[1]OUT_TransportEnergyCons!$A$3:$A$1000)*1,("Var_Fin"=[1]OUT_TransportEnergyCons!$B$3:$B$1000)*1,ISNUMBER(SEARCH("ELC",[1]OUT_TransportEnergyCons!$C$3:$C$1000))*1,[1]OUT_TransportEnergyCons!D$3:D$1000)</f>
        <v>3.3966232572715375E-3</v>
      </c>
      <c r="G1142" s="1" cm="1">
        <f t="array" ref="G1142">SUMPRODUCT(("T-Plg-elc-gsl_S2"=[1]OUT_TransportEnergyCons!$A$3:$A$1000)*1,("Var_Fin"=[1]OUT_TransportEnergyCons!$B$3:$B$1000)*1,ISNUMBER(SEARCH("ELC",[1]OUT_TransportEnergyCons!$C$3:$C$1000))*1,[1]OUT_TransportEnergyCons!E$3:E$1000)</f>
        <v>8.0189242697657221E-3</v>
      </c>
      <c r="H1142" s="1" cm="1">
        <f t="array" ref="H1142">SUMPRODUCT(("T-Plg-elc-gsl_S2"=[1]OUT_TransportEnergyCons!$A$3:$A$1000)*1,("Var_Fin"=[1]OUT_TransportEnergyCons!$B$3:$B$1000)*1,ISNUMBER(SEARCH("ELC",[1]OUT_TransportEnergyCons!$C$3:$C$1000))*1,[1]OUT_TransportEnergyCons!F$3:F$1000)</f>
        <v>5.9803903418106652E-3</v>
      </c>
      <c r="I1142" s="1" cm="1">
        <f t="array" ref="I1142">SUMPRODUCT(("T-Plg-elc-gsl_S2"=[1]OUT_TransportEnergyCons!$A$3:$A$1000)*1,("Var_Fin"=[1]OUT_TransportEnergyCons!$B$3:$B$1000)*1,ISNUMBER(SEARCH("ELC",[1]OUT_TransportEnergyCons!$C$3:$C$1000))*1,[1]OUT_TransportEnergyCons!G$3:G$1000)</f>
        <v>1.3619365244533135E-2</v>
      </c>
      <c r="J1142" s="1" cm="1">
        <f t="array" ref="J1142">SUMPRODUCT(("T-Plg-elc-gsl_S2"=[1]OUT_TransportEnergyCons!$A$3:$A$1000)*1,("Var_Fin"=[1]OUT_TransportEnergyCons!$B$3:$B$1000)*1,ISNUMBER(SEARCH("ELC",[1]OUT_TransportEnergyCons!$C$3:$C$1000))*1,[1]OUT_TransportEnergyCons!H$3:H$1000)</f>
        <v>6.7738880035069469E-3</v>
      </c>
      <c r="K1142" s="1" cm="1">
        <f t="array" ref="K1142">SUMPRODUCT(("T-Plg-elc-gsl_S2"=[1]OUT_TransportEnergyCons!$A$3:$A$1000)*1,("Var_Fin"=[1]OUT_TransportEnergyCons!$B$3:$B$1000)*1,ISNUMBER(SEARCH("ELC",[1]OUT_TransportEnergyCons!$C$3:$C$1000))*1,[1]OUT_TransportEnergyCons!I$3:I$1000)</f>
        <v>2.7520247222766136E-3</v>
      </c>
    </row>
    <row r="1143" spans="2:11" x14ac:dyDescent="0.35">
      <c r="B1143" s="5" t="str">
        <f t="shared" si="745"/>
        <v>SPS2</v>
      </c>
      <c r="C1143" s="5" t="str">
        <f t="shared" si="744"/>
        <v>CH</v>
      </c>
      <c r="D1143" t="s">
        <v>1246</v>
      </c>
      <c r="E1143" t="s">
        <v>8</v>
      </c>
      <c r="F1143" s="1" cm="1">
        <f t="array" ref="F1143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SUMPRODUCT(("T-Plg-elc-gsl_S3"=[1]OUT_TransportEnergyCons!$A$3:$A$1000)*1,("Var_Fin"=[1]OUT_TransportEnergyCons!$B$3:$B$1000)*1,ISNUMBER(SEARCH("ELC",[1]OUT_TransportEnergyCons!$C$3:$C$1000))*1,[1]OUT_TransportEnergyCons!E$3:E$1000)</f>
        <v>7.2616344375688729E-2</v>
      </c>
      <c r="H1143" s="1" cm="1">
        <f t="array" ref="H1143">SUMPRODUCT(("T-Plg-elc-gsl_S3"=[1]OUT_TransportEnergyCons!$A$3:$A$1000)*1,("Var_Fin"=[1]OUT_TransportEnergyCons!$B$3:$B$1000)*1,ISNUMBER(SEARCH("ELC",[1]OUT_TransportEnergyCons!$C$3:$C$1000))*1,[1]OUT_TransportEnergyCons!F$3:F$1000)</f>
        <v>0.16155561455645648</v>
      </c>
      <c r="I1143" s="1" cm="1">
        <f t="array" ref="I1143">SUMPRODUCT(("T-Plg-elc-gsl_S3"=[1]OUT_TransportEnergyCons!$A$3:$A$1000)*1,("Var_Fin"=[1]OUT_TransportEnergyCons!$B$3:$B$1000)*1,ISNUMBER(SEARCH("ELC",[1]OUT_TransportEnergyCons!$C$3:$C$1000))*1,[1]OUT_TransportEnergyCons!G$3:G$1000)</f>
        <v>1.1043779420311288</v>
      </c>
      <c r="J1143" s="1" cm="1">
        <f t="array" ref="J1143">SUMPRODUCT(("T-Plg-elc-gsl_S3"=[1]OUT_TransportEnergyCons!$A$3:$A$1000)*1,("Var_Fin"=[1]OUT_TransportEnergyCons!$B$3:$B$1000)*1,ISNUMBER(SEARCH("ELC",[1]OUT_TransportEnergyCons!$C$3:$C$1000))*1,[1]OUT_TransportEnergyCons!H$3:H$1000)</f>
        <v>2.0123783866984724</v>
      </c>
      <c r="K1143" s="1" cm="1">
        <f t="array" ref="K1143">SUMPRODUCT(("T-Plg-elc-gsl_S3"=[1]OUT_TransportEnergyCons!$A$3:$A$1000)*1,("Var_Fin"=[1]OUT_TransportEnergyCons!$B$3:$B$1000)*1,ISNUMBER(SEARCH("ELC",[1]OUT_TransportEnergyCons!$C$3:$C$1000))*1,[1]OUT_TransportEnergyCons!I$3:I$1000)</f>
        <v>0.4143651550973555</v>
      </c>
    </row>
    <row r="1144" spans="2:11" x14ac:dyDescent="0.35">
      <c r="B1144" s="5" t="str">
        <f t="shared" si="745"/>
        <v>SPS2</v>
      </c>
      <c r="C1144" s="5" t="str">
        <f t="shared" si="744"/>
        <v>CH</v>
      </c>
      <c r="D1144" t="s">
        <v>1247</v>
      </c>
      <c r="E1144" t="s">
        <v>8</v>
      </c>
      <c r="F1144" s="1" cm="1">
        <f t="array" ref="F1144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4" s="1" cm="1">
        <f t="array" ref="G1144">SUMPRODUCT(("T-Plg-elc-gsl_S4"=[1]OUT_TransportEnergyCons!$A$3:$A$1000)*1,("Var_Fin"=[1]OUT_TransportEnergyCons!$B$3:$B$1000)*1,ISNUMBER(SEARCH("ELC",[1]OUT_TransportEnergyCons!$C$3:$C$1000))*1,[1]OUT_TransportEnergyCons!E$3:E$1000)</f>
        <v>1.8217672852098028E-2</v>
      </c>
      <c r="H1144" s="1" cm="1">
        <f t="array" ref="H1144">SUMPRODUCT(("T-Plg-elc-gsl_S4"=[1]OUT_TransportEnergyCons!$A$3:$A$1000)*1,("Var_Fin"=[1]OUT_TransportEnergyCons!$B$3:$B$1000)*1,ISNUMBER(SEARCH("ELC",[1]OUT_TransportEnergyCons!$C$3:$C$1000))*1,[1]OUT_TransportEnergyCons!F$3:F$1000)</f>
        <v>5.4774870558384281E-3</v>
      </c>
      <c r="I1144" s="1" cm="1">
        <f t="array" ref="I1144">SUMPRODUCT(("T-Plg-elc-gsl_S4"=[1]OUT_TransportEnergyCons!$A$3:$A$1000)*1,("Var_Fin"=[1]OUT_TransportEnergyCons!$B$3:$B$1000)*1,ISNUMBER(SEARCH("ELC",[1]OUT_TransportEnergyCons!$C$3:$C$1000))*1,[1]OUT_TransportEnergyCons!G$3:G$1000)</f>
        <v>2.9403117993360438E-2</v>
      </c>
      <c r="J1144" s="1" cm="1">
        <f t="array" ref="J1144">SUMPRODUCT(("T-Plg-elc-gsl_S4"=[1]OUT_TransportEnergyCons!$A$3:$A$1000)*1,("Var_Fin"=[1]OUT_TransportEnergyCons!$B$3:$B$1000)*1,ISNUMBER(SEARCH("ELC",[1]OUT_TransportEnergyCons!$C$3:$C$1000))*1,[1]OUT_TransportEnergyCons!H$3:H$1000)</f>
        <v>6.7392138541307826E-3</v>
      </c>
      <c r="K1144" s="1" cm="1">
        <f t="array" ref="K1144">SUMPRODUCT(("T-Plg-elc-gsl_S4"=[1]OUT_TransportEnergyCons!$A$3:$A$1000)*1,("Var_Fin"=[1]OUT_TransportEnergyCons!$B$3:$B$1000)*1,ISNUMBER(SEARCH("ELC",[1]OUT_TransportEnergyCons!$C$3:$C$1000))*1,[1]OUT_TransportEnergyCons!I$3:I$1000)</f>
        <v>2.1960265860804392E-3</v>
      </c>
    </row>
    <row r="1145" spans="2:11" x14ac:dyDescent="0.35">
      <c r="B1145" s="5" t="str">
        <f t="shared" si="745"/>
        <v>SPS2</v>
      </c>
      <c r="C1145" s="5" t="str">
        <f t="shared" ref="C1145:C1149" si="746">C1144</f>
        <v>CH</v>
      </c>
      <c r="D1145" t="s">
        <v>1248</v>
      </c>
      <c r="E1145" t="s">
        <v>8</v>
      </c>
      <c r="F1145" s="1" cm="1">
        <f t="array" ref="F1145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SUMPRODUCT(("T-Plg-elc-dsl_S1"=[1]OUT_TransportEnergyCons!$A$3:$A$1000)*1,("Var_Fin"=[1]OUT_TransportEnergyCons!$B$3:$B$1000)*1,ISNUMBER(SEARCH("ELC",[1]OUT_TransportEnergyCons!$C$3:$C$1000))*1,[1]OUT_TransportEnergyCons!E$3:E$1000)</f>
        <v>1.0075740482008984E-4</v>
      </c>
      <c r="H1145" s="1" cm="1">
        <f t="array" ref="H1145">SUMPRODUCT(("T-Plg-elc-dsl_S1"=[1]OUT_TransportEnergyCons!$A$3:$A$1000)*1,("Var_Fin"=[1]OUT_TransportEnergyCons!$B$3:$B$1000)*1,ISNUMBER(SEARCH("ELC",[1]OUT_TransportEnergyCons!$C$3:$C$1000))*1,[1]OUT_TransportEnergyCons!F$3:F$1000)</f>
        <v>1.5949928658596621E-4</v>
      </c>
      <c r="I1145" s="1" cm="1">
        <f t="array" ref="I1145">SUMPRODUCT(("T-Plg-elc-dsl_S1"=[1]OUT_TransportEnergyCons!$A$3:$A$1000)*1,("Var_Fin"=[1]OUT_TransportEnergyCons!$B$3:$B$1000)*1,ISNUMBER(SEARCH("ELC",[1]OUT_TransportEnergyCons!$C$3:$C$1000))*1,[1]OUT_TransportEnergyCons!G$3:G$1000)</f>
        <v>9.8621767366415154E-4</v>
      </c>
      <c r="J1145" s="1" cm="1">
        <f t="array" ref="J1145">SUMPRODUCT(("T-Plg-elc-dsl_S1"=[1]OUT_TransportEnergyCons!$A$3:$A$1000)*1,("Var_Fin"=[1]OUT_TransportEnergyCons!$B$3:$B$1000)*1,ISNUMBER(SEARCH("ELC",[1]OUT_TransportEnergyCons!$C$3:$C$1000))*1,[1]OUT_TransportEnergyCons!H$3:H$1000)</f>
        <v>1.2140599602123259E-3</v>
      </c>
      <c r="K1145" s="1" cm="1">
        <f t="array" ref="K1145">SUMPRODUCT(("T-Plg-elc-dsl_S1"=[1]OUT_TransportEnergyCons!$A$3:$A$1000)*1,("Var_Fin"=[1]OUT_TransportEnergyCons!$B$3:$B$1000)*1,ISNUMBER(SEARCH("ELC",[1]OUT_TransportEnergyCons!$C$3:$C$1000))*1,[1]OUT_TransportEnergyCons!I$3:I$1000)</f>
        <v>2.877550040277201E-4</v>
      </c>
    </row>
    <row r="1146" spans="2:11" x14ac:dyDescent="0.35">
      <c r="B1146" s="5" t="str">
        <f t="shared" si="745"/>
        <v>SPS2</v>
      </c>
      <c r="C1146" s="5" t="str">
        <f t="shared" si="746"/>
        <v>CH</v>
      </c>
      <c r="D1146" t="s">
        <v>1249</v>
      </c>
      <c r="E1146" t="s">
        <v>8</v>
      </c>
      <c r="F1146" s="1" cm="1">
        <f t="array" ref="F1146">SUMPRODUCT(("T-Plg-elc-dsl_S2"=[1]OUT_TransportEnergyCons!$A$3:$A$1000)*1,("Var_Fin"=[1]OUT_TransportEnergyCons!$B$3:$B$1000)*1,ISNUMBER(SEARCH("ELC",[1]OUT_TransportEnergyCons!$C$3:$C$1000))*1,[1]OUT_TransportEnergyCons!D$3:D$1000)</f>
        <v>2.3817325598637153E-6</v>
      </c>
      <c r="G1146" s="1" cm="1">
        <f t="array" ref="G1146">SUMPRODUCT(("T-Plg-elc-dsl_S2"=[1]OUT_TransportEnergyCons!$A$3:$A$1000)*1,("Var_Fin"=[1]OUT_TransportEnergyCons!$B$3:$B$1000)*1,ISNUMBER(SEARCH("ELC",[1]OUT_TransportEnergyCons!$C$3:$C$1000))*1,[1]OUT_TransportEnergyCons!E$3:E$1000)</f>
        <v>1.1672436269471813E-4</v>
      </c>
      <c r="H1146" s="1" cm="1">
        <f t="array" ref="H1146">SUMPRODUCT(("T-Plg-elc-dsl_S2"=[1]OUT_TransportEnergyCons!$A$3:$A$1000)*1,("Var_Fin"=[1]OUT_TransportEnergyCons!$B$3:$B$1000)*1,ISNUMBER(SEARCH("ELC",[1]OUT_TransportEnergyCons!$C$3:$C$1000))*1,[1]OUT_TransportEnergyCons!F$3:F$1000)</f>
        <v>3.9929352957764676E-4</v>
      </c>
      <c r="I1146" s="1" cm="1">
        <f t="array" ref="I1146">SUMPRODUCT(("T-Plg-elc-dsl_S2"=[1]OUT_TransportEnergyCons!$A$3:$A$1000)*1,("Var_Fin"=[1]OUT_TransportEnergyCons!$B$3:$B$1000)*1,ISNUMBER(SEARCH("ELC",[1]OUT_TransportEnergyCons!$C$3:$C$1000))*1,[1]OUT_TransportEnergyCons!G$3:G$1000)</f>
        <v>1.8407875232514465E-3</v>
      </c>
      <c r="J1146" s="1" cm="1">
        <f t="array" ref="J1146">SUMPRODUCT(("T-Plg-elc-dsl_S2"=[1]OUT_TransportEnergyCons!$A$3:$A$1000)*1,("Var_Fin"=[1]OUT_TransportEnergyCons!$B$3:$B$1000)*1,ISNUMBER(SEARCH("ELC",[1]OUT_TransportEnergyCons!$C$3:$C$1000))*1,[1]OUT_TransportEnergyCons!H$3:H$1000)</f>
        <v>6.5652625685928747E-3</v>
      </c>
      <c r="K1146" s="1" cm="1">
        <f t="array" ref="K1146">SUMPRODUCT(("T-Plg-elc-dsl_S2"=[1]OUT_TransportEnergyCons!$A$3:$A$1000)*1,("Var_Fin"=[1]OUT_TransportEnergyCons!$B$3:$B$1000)*1,ISNUMBER(SEARCH("ELC",[1]OUT_TransportEnergyCons!$C$3:$C$1000))*1,[1]OUT_TransportEnergyCons!I$3:I$1000)</f>
        <v>2.6219104419715001E-3</v>
      </c>
    </row>
    <row r="1147" spans="2:11" x14ac:dyDescent="0.35">
      <c r="B1147" s="5" t="str">
        <f t="shared" si="745"/>
        <v>SPS2</v>
      </c>
      <c r="C1147" s="5" t="str">
        <f t="shared" si="746"/>
        <v>CH</v>
      </c>
      <c r="D1147" t="s">
        <v>1250</v>
      </c>
      <c r="E1147" t="s">
        <v>8</v>
      </c>
      <c r="F1147" s="1" cm="1">
        <f t="array" ref="F1147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SUMPRODUCT(("T-Plg-elc-dsl_S3"=[1]OUT_TransportEnergyCons!$A$3:$A$1000)*1,("Var_Fin"=[1]OUT_TransportEnergyCons!$B$3:$B$1000)*1,ISNUMBER(SEARCH("ELC",[1]OUT_TransportEnergyCons!$C$3:$C$1000))*1,[1]OUT_TransportEnergyCons!E$3:E$1000)</f>
        <v>2.4731826001195413E-3</v>
      </c>
      <c r="H1147" s="1" cm="1">
        <f t="array" ref="H1147">SUMPRODUCT(("T-Plg-elc-dsl_S3"=[1]OUT_TransportEnergyCons!$A$3:$A$1000)*1,("Var_Fin"=[1]OUT_TransportEnergyCons!$B$3:$B$1000)*1,ISNUMBER(SEARCH("ELC",[1]OUT_TransportEnergyCons!$C$3:$C$1000))*1,[1]OUT_TransportEnergyCons!F$3:F$1000)</f>
        <v>0.1319425446815834</v>
      </c>
      <c r="I1147" s="1" cm="1">
        <f t="array" ref="I1147">SUMPRODUCT(("T-Plg-elc-dsl_S3"=[1]OUT_TransportEnergyCons!$A$3:$A$1000)*1,("Var_Fin"=[1]OUT_TransportEnergyCons!$B$3:$B$1000)*1,ISNUMBER(SEARCH("ELC",[1]OUT_TransportEnergyCons!$C$3:$C$1000))*1,[1]OUT_TransportEnergyCons!G$3:G$1000)</f>
        <v>0.79545797047764943</v>
      </c>
      <c r="J1147" s="1" cm="1">
        <f t="array" ref="J1147">SUMPRODUCT(("T-Plg-elc-dsl_S3"=[1]OUT_TransportEnergyCons!$A$3:$A$1000)*1,("Var_Fin"=[1]OUT_TransportEnergyCons!$B$3:$B$1000)*1,ISNUMBER(SEARCH("ELC",[1]OUT_TransportEnergyCons!$C$3:$C$1000))*1,[1]OUT_TransportEnergyCons!H$3:H$1000)</f>
        <v>1.5040925236766023</v>
      </c>
      <c r="K1147" s="1" cm="1">
        <f t="array" ref="K1147">SUMPRODUCT(("T-Plg-elc-dsl_S3"=[1]OUT_TransportEnergyCons!$A$3:$A$1000)*1,("Var_Fin"=[1]OUT_TransportEnergyCons!$B$3:$B$1000)*1,ISNUMBER(SEARCH("ELC",[1]OUT_TransportEnergyCons!$C$3:$C$1000))*1,[1]OUT_TransportEnergyCons!I$3:I$1000)</f>
        <v>0.28799467011913993</v>
      </c>
    </row>
    <row r="1148" spans="2:11" x14ac:dyDescent="0.35">
      <c r="B1148" s="5" t="str">
        <f t="shared" si="745"/>
        <v>SPS2</v>
      </c>
      <c r="C1148" s="5" t="str">
        <f t="shared" si="746"/>
        <v>CH</v>
      </c>
      <c r="D1148" t="s">
        <v>1251</v>
      </c>
      <c r="E1148" t="s">
        <v>8</v>
      </c>
      <c r="F1148" s="1" cm="1">
        <f t="array" ref="F1148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SUMPRODUCT(("T-Plg-elc-dsl_S4"=[1]OUT_TransportEnergyCons!$A$3:$A$1000)*1,("Var_Fin"=[1]OUT_TransportEnergyCons!$B$3:$B$1000)*1,ISNUMBER(SEARCH("ELC",[1]OUT_TransportEnergyCons!$C$3:$C$1000))*1,[1]OUT_TransportEnergyCons!E$3:E$1000)</f>
        <v>1.6215270947176179E-3</v>
      </c>
      <c r="H1148" s="1" cm="1">
        <f t="array" ref="H1148">SUMPRODUCT(("T-Plg-elc-dsl_S4"=[1]OUT_TransportEnergyCons!$A$3:$A$1000)*1,("Var_Fin"=[1]OUT_TransportEnergyCons!$B$3:$B$1000)*1,ISNUMBER(SEARCH("ELC",[1]OUT_TransportEnergyCons!$C$3:$C$1000))*1,[1]OUT_TransportEnergyCons!F$3:F$1000)</f>
        <v>1.5359843649565988E-3</v>
      </c>
      <c r="I1148" s="1" cm="1">
        <f t="array" ref="I1148">SUMPRODUCT(("T-Plg-elc-dsl_S4"=[1]OUT_TransportEnergyCons!$A$3:$A$1000)*1,("Var_Fin"=[1]OUT_TransportEnergyCons!$B$3:$B$1000)*1,ISNUMBER(SEARCH("ELC",[1]OUT_TransportEnergyCons!$C$3:$C$1000))*1,[1]OUT_TransportEnergyCons!G$3:G$1000)</f>
        <v>5.8855084772695999E-3</v>
      </c>
      <c r="J1148" s="1" cm="1">
        <f t="array" ref="J1148">SUMPRODUCT(("T-Plg-elc-dsl_S4"=[1]OUT_TransportEnergyCons!$A$3:$A$1000)*1,("Var_Fin"=[1]OUT_TransportEnergyCons!$B$3:$B$1000)*1,ISNUMBER(SEARCH("ELC",[1]OUT_TransportEnergyCons!$C$3:$C$1000))*1,[1]OUT_TransportEnergyCons!H$3:H$1000)</f>
        <v>6.436747777704286E-3</v>
      </c>
      <c r="K1148" s="1" cm="1">
        <f t="array" ref="K1148">SUMPRODUCT(("T-Plg-elc-dsl_S4"=[1]OUT_TransportEnergyCons!$A$3:$A$1000)*1,("Var_Fin"=[1]OUT_TransportEnergyCons!$B$3:$B$1000)*1,ISNUMBER(SEARCH("ELC",[1]OUT_TransportEnergyCons!$C$3:$C$1000))*1,[1]OUT_TransportEnergyCons!I$3:I$1000)</f>
        <v>2.0509372151774515E-3</v>
      </c>
    </row>
    <row r="1149" spans="2:11" x14ac:dyDescent="0.35">
      <c r="B1149" s="5" t="str">
        <f t="shared" si="745"/>
        <v>SPS2</v>
      </c>
      <c r="C1149" s="5" t="str">
        <f t="shared" si="746"/>
        <v>CH</v>
      </c>
      <c r="D1149" t="s">
        <v>1252</v>
      </c>
      <c r="E1149" t="s">
        <v>8</v>
      </c>
      <c r="F1149" s="1">
        <f>[1]Transport!B$32</f>
        <v>0</v>
      </c>
      <c r="G1149" s="1">
        <f>[1]Transport!C$32</f>
        <v>0</v>
      </c>
      <c r="H1149" s="1">
        <f>[1]Transport!D$32</f>
        <v>0</v>
      </c>
      <c r="I1149" s="1">
        <f>[1]Transport!E$32</f>
        <v>0.49167157379897358</v>
      </c>
      <c r="J1149" s="1">
        <f>[1]Transport!F$32</f>
        <v>3.0595746532849528</v>
      </c>
      <c r="K1149" s="1">
        <f>[1]Transport!G$32</f>
        <v>8.5185092376245102</v>
      </c>
    </row>
    <row r="1150" spans="2:11" x14ac:dyDescent="0.35">
      <c r="B1150" s="5" t="str">
        <f t="shared" si="745"/>
        <v>SPS2</v>
      </c>
      <c r="C1150" s="5" t="str">
        <f>C1144</f>
        <v>CH</v>
      </c>
      <c r="D1150" t="s">
        <v>1253</v>
      </c>
      <c r="E1150" t="s">
        <v>8</v>
      </c>
      <c r="F1150" s="1">
        <f>SUM(F1151:F1154)</f>
        <v>9.2900870370175761E-4</v>
      </c>
      <c r="G1150" s="1">
        <f t="shared" ref="G1150:K1150" si="747">SUM(G1151:G1154)</f>
        <v>2.1620316831841234E-3</v>
      </c>
      <c r="H1150" s="1">
        <f t="shared" si="747"/>
        <v>2.1516283645198696E-3</v>
      </c>
      <c r="I1150" s="1">
        <f t="shared" si="747"/>
        <v>3.6264949768839119E-4</v>
      </c>
      <c r="J1150" s="1">
        <f t="shared" si="747"/>
        <v>2.5116083742776076E-4</v>
      </c>
      <c r="K1150" s="1">
        <f t="shared" si="747"/>
        <v>2.2880510270324728E-4</v>
      </c>
    </row>
    <row r="1151" spans="2:11" x14ac:dyDescent="0.35">
      <c r="B1151" s="5" t="str">
        <f t="shared" si="745"/>
        <v>SPS2</v>
      </c>
      <c r="C1151" s="5" t="str">
        <f t="shared" si="744"/>
        <v>CH</v>
      </c>
      <c r="D1151" t="s">
        <v>1254</v>
      </c>
      <c r="E1151" t="s">
        <v>8</v>
      </c>
      <c r="F1151" s="1" cm="1">
        <f t="array" ref="F1151">SUMPRODUCT(("T_C-FC-H2O-S1"=[1]OUT_TransportEnergyCons!$A$3:$A$1000)*1,("Var_Fin"=[1]OUT_TransportEnergyCons!$B$3:$B$1000)*1,ISNUMBER(SEARCH("H2",[1]OUT_TransportEnergyCons!$C$3:$C$1000))*1,[1]OUT_TransportEnergyCons!D$3:D$1000)</f>
        <v>0</v>
      </c>
      <c r="G1151" s="1" cm="1">
        <f t="array" ref="G1151">SUMPRODUCT(("T_C-FC-H2O-S1"=[1]OUT_TransportEnergyCons!$A$3:$A$1000)*1,("Var_Fin"=[1]OUT_TransportEnergyCons!$B$3:$B$1000)*1,ISNUMBER(SEARCH("H2",[1]OUT_TransportEnergyCons!$C$3:$C$1000))*1,[1]OUT_TransportEnergyCons!E$3:E$1000)</f>
        <v>7.4845251912213995E-5</v>
      </c>
      <c r="H1151" s="1" cm="1">
        <f t="array" ref="H1151">SUMPRODUCT(("T_C-FC-H2O-S1"=[1]OUT_TransportEnergyCons!$A$3:$A$1000)*1,("Var_Fin"=[1]OUT_TransportEnergyCons!$B$3:$B$1000)*1,ISNUMBER(SEARCH("H2",[1]OUT_TransportEnergyCons!$C$3:$C$1000))*1,[1]OUT_TransportEnergyCons!F$3:F$1000)</f>
        <v>9.1660844609818865E-5</v>
      </c>
      <c r="I1151" s="1" cm="1">
        <f t="array" ref="I1151">SUMPRODUCT(("T_C-FC-H2O-S1"=[1]OUT_TransportEnergyCons!$A$3:$A$1000)*1,("Var_Fin"=[1]OUT_TransportEnergyCons!$B$3:$B$1000)*1,ISNUMBER(SEARCH("H2",[1]OUT_TransportEnergyCons!$C$3:$C$1000))*1,[1]OUT_TransportEnergyCons!G$3:G$1000)</f>
        <v>3.130473620907196E-5</v>
      </c>
      <c r="J1151" s="1" cm="1">
        <f t="array" ref="J1151">SUMPRODUCT(("T_C-FC-H2O-S1"=[1]OUT_TransportEnergyCons!$A$3:$A$1000)*1,("Var_Fin"=[1]OUT_TransportEnergyCons!$B$3:$B$1000)*1,ISNUMBER(SEARCH("H2",[1]OUT_TransportEnergyCons!$C$3:$C$1000))*1,[1]OUT_TransportEnergyCons!H$3:H$1000)</f>
        <v>3.9666834961374024E-5</v>
      </c>
      <c r="K1151" s="1" cm="1">
        <f t="array" ref="K1151">SUMPRODUCT(("T_C-FC-H2O-S1"=[1]OUT_TransportEnergyCons!$A$3:$A$1000)*1,("Var_Fin"=[1]OUT_TransportEnergyCons!$B$3:$B$1000)*1,ISNUMBER(SEARCH("H2",[1]OUT_TransportEnergyCons!$C$3:$C$1000))*1,[1]OUT_TransportEnergyCons!I$3:I$1000)</f>
        <v>3.1116423792303006E-5</v>
      </c>
    </row>
    <row r="1152" spans="2:11" x14ac:dyDescent="0.35">
      <c r="B1152" s="5" t="str">
        <f t="shared" si="745"/>
        <v>SPS2</v>
      </c>
      <c r="C1152" s="5" t="str">
        <f t="shared" si="744"/>
        <v>CH</v>
      </c>
      <c r="D1152" t="s">
        <v>1255</v>
      </c>
      <c r="E1152" t="s">
        <v>8</v>
      </c>
      <c r="F1152" s="1" cm="1">
        <f t="array" ref="F1152">SUMPRODUCT(("T_C-FC-H2O-S2"=[1]OUT_TransportEnergyCons!$A$3:$A$1000)*1,("Var_Fin"=[1]OUT_TransportEnergyCons!$B$3:$B$1000)*1,ISNUMBER(SEARCH("H2",[1]OUT_TransportEnergyCons!$C$3:$C$1000))*1,[1]OUT_TransportEnergyCons!D$3:D$1000)</f>
        <v>9.5914223134218679E-5</v>
      </c>
      <c r="G1152" s="1" cm="1">
        <f t="array" ref="G1152">SUMPRODUCT(("T_C-FC-H2O-S2"=[1]OUT_TransportEnergyCons!$A$3:$A$1000)*1,("Var_Fin"=[1]OUT_TransportEnergyCons!$B$3:$B$1000)*1,ISNUMBER(SEARCH("H2",[1]OUT_TransportEnergyCons!$C$3:$C$1000))*1,[1]OUT_TransportEnergyCons!E$3:E$1000)</f>
        <v>1.516797118617578E-4</v>
      </c>
      <c r="H1152" s="1" cm="1">
        <f t="array" ref="H1152">SUMPRODUCT(("T_C-FC-H2O-S2"=[1]OUT_TransportEnergyCons!$A$3:$A$1000)*1,("Var_Fin"=[1]OUT_TransportEnergyCons!$B$3:$B$1000)*1,ISNUMBER(SEARCH("H2",[1]OUT_TransportEnergyCons!$C$3:$C$1000))*1,[1]OUT_TransportEnergyCons!F$3:F$1000)</f>
        <v>1.9500352516346032E-4</v>
      </c>
      <c r="I1152" s="1" cm="1">
        <f t="array" ref="I1152">SUMPRODUCT(("T_C-FC-H2O-S2"=[1]OUT_TransportEnergyCons!$A$3:$A$1000)*1,("Var_Fin"=[1]OUT_TransportEnergyCons!$B$3:$B$1000)*1,ISNUMBER(SEARCH("H2",[1]OUT_TransportEnergyCons!$C$3:$C$1000))*1,[1]OUT_TransportEnergyCons!G$3:G$1000)</f>
        <v>9.0340313400129815E-5</v>
      </c>
      <c r="J1152" s="1" cm="1">
        <f t="array" ref="J1152">SUMPRODUCT(("T_C-FC-H2O-S2"=[1]OUT_TransportEnergyCons!$A$3:$A$1000)*1,("Var_Fin"=[1]OUT_TransportEnergyCons!$B$3:$B$1000)*1,ISNUMBER(SEARCH("H2",[1]OUT_TransportEnergyCons!$C$3:$C$1000))*1,[1]OUT_TransportEnergyCons!H$3:H$1000)</f>
        <v>6.6999859532264184E-5</v>
      </c>
      <c r="K1152" s="1" cm="1">
        <f t="array" ref="K1152">SUMPRODUCT(("T_C-FC-H2O-S2"=[1]OUT_TransportEnergyCons!$A$3:$A$1000)*1,("Var_Fin"=[1]OUT_TransportEnergyCons!$B$3:$B$1000)*1,ISNUMBER(SEARCH("H2",[1]OUT_TransportEnergyCons!$C$3:$C$1000))*1,[1]OUT_TransportEnergyCons!I$3:I$1000)</f>
        <v>5.9229198816625332E-5</v>
      </c>
    </row>
    <row r="1153" spans="2:11" x14ac:dyDescent="0.35">
      <c r="B1153" s="5" t="str">
        <f t="shared" si="745"/>
        <v>SPS2</v>
      </c>
      <c r="C1153" s="5" t="str">
        <f t="shared" si="744"/>
        <v>CH</v>
      </c>
      <c r="D1153" t="s">
        <v>1256</v>
      </c>
      <c r="E1153" t="s">
        <v>8</v>
      </c>
      <c r="F1153" s="1" cm="1">
        <f t="array" ref="F1153">SUMPRODUCT(("T_C-FC-H2O-S3"=[1]OUT_TransportEnergyCons!$A$3:$A$1000)*1,("Var_Fin"=[1]OUT_TransportEnergyCons!$B$3:$B$1000)*1,ISNUMBER(SEARCH("H2",[1]OUT_TransportEnergyCons!$C$3:$C$1000))*1,[1]OUT_TransportEnergyCons!D$3:D$1000)</f>
        <v>8.3309448056753893E-4</v>
      </c>
      <c r="G1153" s="1" cm="1">
        <f t="array" ref="G1153">SUMPRODUCT(("T_C-FC-H2O-S3"=[1]OUT_TransportEnergyCons!$A$3:$A$1000)*1,("Var_Fin"=[1]OUT_TransportEnergyCons!$B$3:$B$1000)*1,ISNUMBER(SEARCH("H2",[1]OUT_TransportEnergyCons!$C$3:$C$1000))*1,[1]OUT_TransportEnergyCons!E$3:E$1000)</f>
        <v>1.8701435179042717E-3</v>
      </c>
      <c r="H1153" s="1" cm="1">
        <f t="array" ref="H1153">SUMPRODUCT(("T_C-FC-H2O-S3"=[1]OUT_TransportEnergyCons!$A$3:$A$1000)*1,("Var_Fin"=[1]OUT_TransportEnergyCons!$B$3:$B$1000)*1,ISNUMBER(SEARCH("H2",[1]OUT_TransportEnergyCons!$C$3:$C$1000))*1,[1]OUT_TransportEnergyCons!F$3:F$1000)</f>
        <v>1.7555341688379731E-3</v>
      </c>
      <c r="I1153" s="1" cm="1">
        <f t="array" ref="I1153">SUMPRODUCT(("T_C-FC-H2O-S3"=[1]OUT_TransportEnergyCons!$A$3:$A$1000)*1,("Var_Fin"=[1]OUT_TransportEnergyCons!$B$3:$B$1000)*1,ISNUMBER(SEARCH("H2",[1]OUT_TransportEnergyCons!$C$3:$C$1000))*1,[1]OUT_TransportEnergyCons!G$3:G$1000)</f>
        <v>1.7460259559123802E-4</v>
      </c>
      <c r="J1153" s="1" cm="1">
        <f t="array" ref="J1153">SUMPRODUCT(("T_C-FC-H2O-S3"=[1]OUT_TransportEnergyCons!$A$3:$A$1000)*1,("Var_Fin"=[1]OUT_TransportEnergyCons!$B$3:$B$1000)*1,ISNUMBER(SEARCH("H2",[1]OUT_TransportEnergyCons!$C$3:$C$1000))*1,[1]OUT_TransportEnergyCons!H$3:H$1000)</f>
        <v>7.3619338763999099E-5</v>
      </c>
      <c r="K1153" s="1" cm="1">
        <f t="array" ref="K1153">SUMPRODUCT(("T_C-FC-H2O-S3"=[1]OUT_TransportEnergyCons!$A$3:$A$1000)*1,("Var_Fin"=[1]OUT_TransportEnergyCons!$B$3:$B$1000)*1,ISNUMBER(SEARCH("H2",[1]OUT_TransportEnergyCons!$C$3:$C$1000))*1,[1]OUT_TransportEnergyCons!I$3:I$1000)</f>
        <v>7.0620921564418064E-5</v>
      </c>
    </row>
    <row r="1154" spans="2:11" x14ac:dyDescent="0.35">
      <c r="B1154" s="5" t="str">
        <f t="shared" si="745"/>
        <v>SPS2</v>
      </c>
      <c r="C1154" s="5" t="str">
        <f t="shared" si="744"/>
        <v>CH</v>
      </c>
      <c r="D1154" t="s">
        <v>1257</v>
      </c>
      <c r="E1154" t="s">
        <v>8</v>
      </c>
      <c r="F1154" s="1" cm="1">
        <f t="array" ref="F1154">SUMPRODUCT(("T_C-FC-H2O-S4"=[1]OUT_TransportEnergyCons!$A$3:$A$1000)*1,("Var_Fin"=[1]OUT_TransportEnergyCons!$B$3:$B$1000)*1,ISNUMBER(SEARCH("H2",[1]OUT_TransportEnergyCons!$C$3:$C$1000))*1,[1]OUT_TransportEnergyCons!D$3:D$1000)</f>
        <v>0</v>
      </c>
      <c r="G1154" s="1" cm="1">
        <f t="array" ref="G1154">SUMPRODUCT(("T_C-FC-H2O-S4"=[1]OUT_TransportEnergyCons!$A$3:$A$1000)*1,("Var_Fin"=[1]OUT_TransportEnergyCons!$B$3:$B$1000)*1,ISNUMBER(SEARCH("H2",[1]OUT_TransportEnergyCons!$C$3:$C$1000))*1,[1]OUT_TransportEnergyCons!E$3:E$1000)</f>
        <v>6.5363201505879668E-5</v>
      </c>
      <c r="H1154" s="1" cm="1">
        <f t="array" ref="H1154">SUMPRODUCT(("T_C-FC-H2O-S4"=[1]OUT_TransportEnergyCons!$A$3:$A$1000)*1,("Var_Fin"=[1]OUT_TransportEnergyCons!$B$3:$B$1000)*1,ISNUMBER(SEARCH("H2",[1]OUT_TransportEnergyCons!$C$3:$C$1000))*1,[1]OUT_TransportEnergyCons!F$3:F$1000)</f>
        <v>1.0942982590861742E-4</v>
      </c>
      <c r="I1154" s="1" cm="1">
        <f t="array" ref="I1154">SUMPRODUCT(("T_C-FC-H2O-S4"=[1]OUT_TransportEnergyCons!$A$3:$A$1000)*1,("Var_Fin"=[1]OUT_TransportEnergyCons!$B$3:$B$1000)*1,ISNUMBER(SEARCH("H2",[1]OUT_TransportEnergyCons!$C$3:$C$1000))*1,[1]OUT_TransportEnergyCons!G$3:G$1000)</f>
        <v>6.6401852487951382E-5</v>
      </c>
      <c r="J1154" s="1" cm="1">
        <f t="array" ref="J1154">SUMPRODUCT(("T_C-FC-H2O-S4"=[1]OUT_TransportEnergyCons!$A$3:$A$1000)*1,("Var_Fin"=[1]OUT_TransportEnergyCons!$B$3:$B$1000)*1,ISNUMBER(SEARCH("H2",[1]OUT_TransportEnergyCons!$C$3:$C$1000))*1,[1]OUT_TransportEnergyCons!H$3:H$1000)</f>
        <v>7.0874804170123436E-5</v>
      </c>
      <c r="K1154" s="1" cm="1">
        <f t="array" ref="K1154">SUMPRODUCT(("T_C-FC-H2O-S4"=[1]OUT_TransportEnergyCons!$A$3:$A$1000)*1,("Var_Fin"=[1]OUT_TransportEnergyCons!$B$3:$B$1000)*1,ISNUMBER(SEARCH("H2",[1]OUT_TransportEnergyCons!$C$3:$C$1000))*1,[1]OUT_TransportEnergyCons!I$3:I$1000)</f>
        <v>6.7838558529900874E-5</v>
      </c>
    </row>
    <row r="1155" spans="2:11" x14ac:dyDescent="0.35">
      <c r="B1155" s="5" t="str">
        <f t="shared" si="745"/>
        <v>SPS2</v>
      </c>
      <c r="C1155" s="5" t="str">
        <f t="shared" si="744"/>
        <v>CH</v>
      </c>
      <c r="D1155" t="s">
        <v>1258</v>
      </c>
      <c r="E1155" t="s">
        <v>8</v>
      </c>
      <c r="F1155" s="1">
        <f>SUM(F1160:F1177)</f>
        <v>76.445799506922341</v>
      </c>
      <c r="G1155" s="1">
        <f t="shared" ref="G1155:K1155" si="748">SUM(G1160:G1177)</f>
        <v>74.338956263971738</v>
      </c>
      <c r="H1155" s="1">
        <f t="shared" si="748"/>
        <v>72.724825470406344</v>
      </c>
      <c r="I1155" s="1">
        <f t="shared" si="748"/>
        <v>39.982669510722062</v>
      </c>
      <c r="J1155" s="1">
        <f t="shared" si="748"/>
        <v>7.085970905953423</v>
      </c>
      <c r="K1155" s="1">
        <f t="shared" si="748"/>
        <v>0.59760383307273846</v>
      </c>
    </row>
    <row r="1156" spans="2:11" x14ac:dyDescent="0.35">
      <c r="B1156" s="5" t="str">
        <f t="shared" si="745"/>
        <v>SPS2</v>
      </c>
      <c r="C1156" s="5" t="str">
        <f t="shared" si="744"/>
        <v>CH</v>
      </c>
      <c r="D1156" t="s">
        <v>1259</v>
      </c>
      <c r="E1156" t="str">
        <f>E1155</f>
        <v>PJ/yr.</v>
      </c>
      <c r="F1156" s="1">
        <f>F1155-F1157</f>
        <v>72.261128608420165</v>
      </c>
      <c r="G1156" s="1">
        <f t="shared" ref="G1156:K1156" si="749">G1155-G1157</f>
        <v>70.269426711995735</v>
      </c>
      <c r="H1156" s="1">
        <f t="shared" si="749"/>
        <v>68.743611484911952</v>
      </c>
      <c r="I1156" s="1">
        <f t="shared" si="749"/>
        <v>35.536740773575076</v>
      </c>
      <c r="J1156" s="1">
        <f t="shared" si="749"/>
        <v>2.5249054950323107</v>
      </c>
      <c r="K1156" s="1">
        <f t="shared" si="749"/>
        <v>-7.6172813857223742E-3</v>
      </c>
    </row>
    <row r="1157" spans="2:11" x14ac:dyDescent="0.35">
      <c r="B1157" s="5" t="str">
        <f t="shared" si="745"/>
        <v>SPS2</v>
      </c>
      <c r="C1157" s="5" t="str">
        <f t="shared" si="744"/>
        <v>CH</v>
      </c>
      <c r="D1157" t="s">
        <v>1260</v>
      </c>
      <c r="E1157" t="str">
        <f>E1156</f>
        <v>PJ/yr.</v>
      </c>
      <c r="F1157" s="1">
        <f>SUM(F1158:F1159)</f>
        <v>4.1846708985021834</v>
      </c>
      <c r="G1157" s="1">
        <f t="shared" ref="G1157" si="750">SUM(G1158:G1159)</f>
        <v>4.0695295519760011</v>
      </c>
      <c r="H1157" s="1">
        <f t="shared" ref="H1157" si="751">SUM(H1158:H1159)</f>
        <v>3.9812139854943949</v>
      </c>
      <c r="I1157" s="1">
        <f t="shared" ref="I1157" si="752">SUM(I1158:I1159)</f>
        <v>4.445928737146982</v>
      </c>
      <c r="J1157" s="1">
        <f t="shared" ref="J1157" si="753">SUM(J1158:J1159)</f>
        <v>4.5610654109211124</v>
      </c>
      <c r="K1157" s="1">
        <f t="shared" ref="K1157" si="754">SUM(K1158:K1159)</f>
        <v>0.60522111445846083</v>
      </c>
    </row>
    <row r="1158" spans="2:11" x14ac:dyDescent="0.35">
      <c r="B1158" s="5" t="str">
        <f t="shared" si="745"/>
        <v>SPS2</v>
      </c>
      <c r="C1158" s="5" t="str">
        <f t="shared" si="744"/>
        <v>CH</v>
      </c>
      <c r="D1158" t="s">
        <v>1261</v>
      </c>
      <c r="E1158" t="str">
        <f>E1157</f>
        <v>PJ/yr.</v>
      </c>
      <c r="F1158" s="1">
        <f>[1]Transport!B$25/SUM([1]Transport!B$21,[1]Transport!B$25)*F1155*(F$34+F$598)/(F$34+F$598+F$37)</f>
        <v>4.1846708985021834</v>
      </c>
      <c r="G1158" s="1">
        <f>[1]Transport!C$25/SUM([1]Transport!C$21,[1]Transport!C$25)*G1155*(G$34+G$598)/(G$34+G$598+G$37)</f>
        <v>4.0695295519760011</v>
      </c>
      <c r="H1158" s="1">
        <f>[1]Transport!D$25/SUM([1]Transport!D$21,[1]Transport!D$25)*H1155*(H$34+H$598)/(H$34+H$598+H$37)</f>
        <v>3.9812139854943949</v>
      </c>
      <c r="I1158" s="1">
        <f>[1]Transport!E$25/SUM([1]Transport!E$21,[1]Transport!E$25)*I1155*(I$34+I$598)/(I$34+I$598+I$37)</f>
        <v>4.445928737146982</v>
      </c>
      <c r="J1158" s="1">
        <f>[1]Transport!F$25/SUM([1]Transport!F$21,[1]Transport!F$25)*J1155*(J$34+J$598)/(J$34+J$598+J$37)</f>
        <v>3.8730093898929381</v>
      </c>
      <c r="K1158" s="1">
        <f>[1]Transport!G$25/SUM([1]Transport!G$21,[1]Transport!G$25)*K1155*(K$34+K$598)/(K$34+K$598+K$37)</f>
        <v>8.8301091461886999E-2</v>
      </c>
    </row>
    <row r="1159" spans="2:11" x14ac:dyDescent="0.35">
      <c r="B1159" s="5" t="str">
        <f t="shared" si="745"/>
        <v>SPS2</v>
      </c>
      <c r="C1159" s="5" t="str">
        <f t="shared" si="744"/>
        <v>CH</v>
      </c>
      <c r="D1159" t="s">
        <v>1262</v>
      </c>
      <c r="E1159" t="str">
        <f>E1158</f>
        <v>PJ/yr.</v>
      </c>
      <c r="F1159" s="1">
        <f>(F$37+F$717)/([1]Transport!B$21+[1]Transport!B$25)*F1155</f>
        <v>0</v>
      </c>
      <c r="G1159" s="1">
        <f>(G$37+G$717)/([1]Transport!C$21+[1]Transport!C$25)*G1155</f>
        <v>0</v>
      </c>
      <c r="H1159" s="1">
        <f>(H$37+H$717)/([1]Transport!D$21+[1]Transport!D$25)*H1155</f>
        <v>0</v>
      </c>
      <c r="I1159" s="1">
        <f>(I$37+I$717)/([1]Transport!E$21+[1]Transport!E$25)*I1155</f>
        <v>0</v>
      </c>
      <c r="J1159" s="1">
        <f>(J$37+J$717)/([1]Transport!F$21+[1]Transport!F$25)*J1155</f>
        <v>0.68805602102817454</v>
      </c>
      <c r="K1159" s="1">
        <f>(K$37+K$717)/([1]Transport!G$21+[1]Transport!G$25)*K1155</f>
        <v>0.5169200229965738</v>
      </c>
    </row>
    <row r="1160" spans="2:11" x14ac:dyDescent="0.35">
      <c r="B1160" s="5" t="str">
        <f t="shared" si="745"/>
        <v>SPS2</v>
      </c>
      <c r="C1160" s="5" t="str">
        <f>C1155</f>
        <v>CH</v>
      </c>
      <c r="D1160" t="s">
        <v>1263</v>
      </c>
      <c r="E1160" t="s">
        <v>8</v>
      </c>
      <c r="F1160" s="1" cm="1">
        <f t="array" ref="F1160">SUMPRODUCT(("T_C-HYBGSLEXT"=[1]OUT_TransportEnergyCons!$A$3:$A$1000)*1,("Var_Fin"=[1]OUT_TransportEnergyCons!$B$3:$B$1000)*1,ISNUMBER(SEARCH("GSL",[1]OUT_TransportEnergyCons!$C$3:$C$1000))*1,[1]OUT_TransportEnergyCons!D$3:D$1000)</f>
        <v>1.2540587585479159</v>
      </c>
      <c r="G1160" s="1" cm="1">
        <f t="array" ref="G1160">SUMPRODUCT(("T_C-HYBGSLEXT"=[1]OUT_TransportEnergyCons!$A$3:$A$1000)*1,("Var_Fin"=[1]OUT_TransportEnergyCons!$B$3:$B$1000)*1,ISNUMBER(SEARCH("GSL",[1]OUT_TransportEnergyCons!$C$3:$C$1000))*1,[1]OUT_TransportEnergyCons!E$3:E$1000)</f>
        <v>1.2428832263567664</v>
      </c>
      <c r="H1160" s="1" cm="1">
        <f t="array" ref="H1160">SUMPRODUCT(("T_C-HYBGSLEXT"=[1]OUT_TransportEnergyCons!$A$3:$A$1000)*1,("Var_Fin"=[1]OUT_TransportEnergyCons!$B$3:$B$1000)*1,ISNUMBER(SEARCH("GSL",[1]OUT_TransportEnergyCons!$C$3:$C$1000))*1,[1]OUT_TransportEnergyCons!F$3:F$1000)</f>
        <v>0.9251505366291678</v>
      </c>
      <c r="I1160" s="1" cm="1">
        <f t="array" ref="I1160">SUMPRODUCT(("T_C-HYBGSLEXT"=[1]OUT_TransportEnergyCons!$A$3:$A$1000)*1,("Var_Fin"=[1]OUT_TransportEnergyCons!$B$3:$B$1000)*1,ISNUMBER(SEARCH("GSL",[1]OUT_TransportEnergyCons!$C$3:$C$1000))*1,[1]OUT_TransportEnergyCons!G$3:G$1000)</f>
        <v>0.43897007391395687</v>
      </c>
      <c r="J1160" s="1" cm="1">
        <f t="array" ref="J1160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0" s="1" cm="1">
        <f t="array" ref="K1160">SUMPRODUCT(("T_C-HYBGSLEXT"=[1]OUT_TransportEnergyCons!$A$3:$A$1000)*1,("Var_Fin"=[1]OUT_TransportEnergyCons!$B$3:$B$1000)*1,ISNUMBER(SEARCH("GSL",[1]OUT_TransportEnergyCons!$C$3:$C$1000))*1,[1]OUT_TransportEnergyCons!I$3:I$1000)</f>
        <v>0</v>
      </c>
    </row>
    <row r="1161" spans="2:11" x14ac:dyDescent="0.35">
      <c r="B1161" s="5" t="str">
        <f t="shared" si="745"/>
        <v>SPS2</v>
      </c>
      <c r="C1161" s="5" t="str">
        <f t="shared" si="744"/>
        <v>CH</v>
      </c>
      <c r="D1161" t="s">
        <v>1264</v>
      </c>
      <c r="E1161" t="s">
        <v>8</v>
      </c>
      <c r="F1161" s="1" cm="1">
        <f t="array" ref="F1161">SUMPRODUCT(("T_C-HY-GSL-S1"=[1]OUT_TransportEnergyCons!$A$3:$A$1000)*1,("Var_Fin"=[1]OUT_TransportEnergyCons!$B$3:$B$1000)*1,ISNUMBER(SEARCH("GSL",[1]OUT_TransportEnergyCons!$C$3:$C$1000))*1,[1]OUT_TransportEnergyCons!D$3:D$1000)</f>
        <v>4.0590417123271272E-2</v>
      </c>
      <c r="G1161" s="1" cm="1">
        <f t="array" ref="G1161">SUMPRODUCT(("T_C-HY-GSL-S1"=[1]OUT_TransportEnergyCons!$A$3:$A$1000)*1,("Var_Fin"=[1]OUT_TransportEnergyCons!$B$3:$B$1000)*1,ISNUMBER(SEARCH("GSL",[1]OUT_TransportEnergyCons!$C$3:$C$1000))*1,[1]OUT_TransportEnergyCons!E$3:E$1000)</f>
        <v>5.63843095038426E-2</v>
      </c>
      <c r="H1161" s="1" cm="1">
        <f t="array" ref="H1161">SUMPRODUCT(("T_C-HY-GSL-S1"=[1]OUT_TransportEnergyCons!$A$3:$A$1000)*1,("Var_Fin"=[1]OUT_TransportEnergyCons!$B$3:$B$1000)*1,ISNUMBER(SEARCH("GSL",[1]OUT_TransportEnergyCons!$C$3:$C$1000))*1,[1]OUT_TransportEnergyCons!F$3:F$1000)</f>
        <v>4.0215946448735496E-2</v>
      </c>
      <c r="I1161" s="1" cm="1">
        <f t="array" ref="I1161">SUMPRODUCT(("T_C-HY-GSL-S1"=[1]OUT_TransportEnergyCons!$A$3:$A$1000)*1,("Var_Fin"=[1]OUT_TransportEnergyCons!$B$3:$B$1000)*1,ISNUMBER(SEARCH("GSL",[1]OUT_TransportEnergyCons!$C$3:$C$1000))*1,[1]OUT_TransportEnergyCons!G$3:G$1000)</f>
        <v>3.2371552337006573E-2</v>
      </c>
      <c r="J1161" s="1" cm="1">
        <f t="array" ref="J1161">SUMPRODUCT(("T_C-HY-GSL-S1"=[1]OUT_TransportEnergyCons!$A$3:$A$1000)*1,("Var_Fin"=[1]OUT_TransportEnergyCons!$B$3:$B$1000)*1,ISNUMBER(SEARCH("GSL",[1]OUT_TransportEnergyCons!$C$3:$C$1000))*1,[1]OUT_TransportEnergyCons!H$3:H$1000)</f>
        <v>4.1977361803576001E-4</v>
      </c>
      <c r="K1161" s="1" cm="1">
        <f t="array" ref="K1161">SUMPRODUCT(("T_C-HY-GSL-S1"=[1]OUT_TransportEnergyCons!$A$3:$A$1000)*1,("Var_Fin"=[1]OUT_TransportEnergyCons!$B$3:$B$1000)*1,ISNUMBER(SEARCH("GSL",[1]OUT_TransportEnergyCons!$C$3:$C$1000))*1,[1]OUT_TransportEnergyCons!I$3:I$1000)</f>
        <v>0</v>
      </c>
    </row>
    <row r="1162" spans="2:11" x14ac:dyDescent="0.35">
      <c r="B1162" s="5" t="str">
        <f t="shared" si="745"/>
        <v>SPS2</v>
      </c>
      <c r="C1162" s="5" t="str">
        <f t="shared" si="744"/>
        <v>CH</v>
      </c>
      <c r="D1162" t="s">
        <v>1265</v>
      </c>
      <c r="E1162" t="s">
        <v>8</v>
      </c>
      <c r="F1162" s="1" cm="1">
        <f t="array" ref="F1162">SUMPRODUCT(("T_C-HY-GSL-S2"=[1]OUT_TransportEnergyCons!$A$3:$A$1000)*1,("Var_Fin"=[1]OUT_TransportEnergyCons!$B$3:$B$1000)*1,ISNUMBER(SEARCH("GSL",[1]OUT_TransportEnergyCons!$C$3:$C$1000))*1,[1]OUT_TransportEnergyCons!D$3:D$1000)</f>
        <v>0.10739509053331289</v>
      </c>
      <c r="G1162" s="1" cm="1">
        <f t="array" ref="G1162">SUMPRODUCT(("T_C-HY-GSL-S2"=[1]OUT_TransportEnergyCons!$A$3:$A$1000)*1,("Var_Fin"=[1]OUT_TransportEnergyCons!$B$3:$B$1000)*1,ISNUMBER(SEARCH("GSL",[1]OUT_TransportEnergyCons!$C$3:$C$1000))*1,[1]OUT_TransportEnergyCons!E$3:E$1000)</f>
        <v>0.30847287660564499</v>
      </c>
      <c r="H1162" s="1" cm="1">
        <f t="array" ref="H1162">SUMPRODUCT(("T_C-HY-GSL-S2"=[1]OUT_TransportEnergyCons!$A$3:$A$1000)*1,("Var_Fin"=[1]OUT_TransportEnergyCons!$B$3:$B$1000)*1,ISNUMBER(SEARCH("GSL",[1]OUT_TransportEnergyCons!$C$3:$C$1000))*1,[1]OUT_TransportEnergyCons!F$3:F$1000)</f>
        <v>0.86373698881914007</v>
      </c>
      <c r="I1162" s="1" cm="1">
        <f t="array" ref="I1162">SUMPRODUCT(("T_C-HY-GSL-S2"=[1]OUT_TransportEnergyCons!$A$3:$A$1000)*1,("Var_Fin"=[1]OUT_TransportEnergyCons!$B$3:$B$1000)*1,ISNUMBER(SEARCH("GSL",[1]OUT_TransportEnergyCons!$C$3:$C$1000))*1,[1]OUT_TransportEnergyCons!G$3:G$1000)</f>
        <v>0.78220776943010339</v>
      </c>
      <c r="J1162" s="1" cm="1">
        <f t="array" ref="J1162">SUMPRODUCT(("T_C-HY-GSL-S2"=[1]OUT_TransportEnergyCons!$A$3:$A$1000)*1,("Var_Fin"=[1]OUT_TransportEnergyCons!$B$3:$B$1000)*1,ISNUMBER(SEARCH("GSL",[1]OUT_TransportEnergyCons!$C$3:$C$1000))*1,[1]OUT_TransportEnergyCons!H$3:H$1000)</f>
        <v>3.8678909175859588E-2</v>
      </c>
      <c r="K1162" s="1" cm="1">
        <f t="array" ref="K1162">SUMPRODUCT(("T_C-HY-GSL-S2"=[1]OUT_TransportEnergyCons!$A$3:$A$1000)*1,("Var_Fin"=[1]OUT_TransportEnergyCons!$B$3:$B$1000)*1,ISNUMBER(SEARCH("GSL",[1]OUT_TransportEnergyCons!$C$3:$C$1000))*1,[1]OUT_TransportEnergyCons!I$3:I$1000)</f>
        <v>0</v>
      </c>
    </row>
    <row r="1163" spans="2:11" x14ac:dyDescent="0.35">
      <c r="B1163" s="5" t="str">
        <f t="shared" si="745"/>
        <v>SPS2</v>
      </c>
      <c r="C1163" s="5" t="str">
        <f t="shared" si="744"/>
        <v>CH</v>
      </c>
      <c r="D1163" t="s">
        <v>1266</v>
      </c>
      <c r="E1163" t="s">
        <v>8</v>
      </c>
      <c r="F1163" s="1" cm="1">
        <f t="array" ref="F1163">SUMPRODUCT(("T_C-HY-GSL-S3"=[1]OUT_TransportEnergyCons!$A$3:$A$1000)*1,("Var_Fin"=[1]OUT_TransportEnergyCons!$B$3:$B$1000)*1,ISNUMBER(SEARCH("GSL",[1]OUT_TransportEnergyCons!$C$3:$C$1000))*1,[1]OUT_TransportEnergyCons!D$3:D$1000)</f>
        <v>8.0031416588227808E-2</v>
      </c>
      <c r="G1163" s="1" cm="1">
        <f t="array" ref="G1163">SUMPRODUCT(("T_C-HY-GSL-S3"=[1]OUT_TransportEnergyCons!$A$3:$A$1000)*1,("Var_Fin"=[1]OUT_TransportEnergyCons!$B$3:$B$1000)*1,ISNUMBER(SEARCH("GSL",[1]OUT_TransportEnergyCons!$C$3:$C$1000))*1,[1]OUT_TransportEnergyCons!E$3:E$1000)</f>
        <v>1.1444631669629388</v>
      </c>
      <c r="H1163" s="1" cm="1">
        <f t="array" ref="H1163">SUMPRODUCT(("T_C-HY-GSL-S3"=[1]OUT_TransportEnergyCons!$A$3:$A$1000)*1,("Var_Fin"=[1]OUT_TransportEnergyCons!$B$3:$B$1000)*1,ISNUMBER(SEARCH("GSL",[1]OUT_TransportEnergyCons!$C$3:$C$1000))*1,[1]OUT_TransportEnergyCons!F$3:F$1000)</f>
        <v>1.0832202983259116</v>
      </c>
      <c r="I1163" s="1" cm="1">
        <f t="array" ref="I1163">SUMPRODUCT(("T_C-HY-GSL-S3"=[1]OUT_TransportEnergyCons!$A$3:$A$1000)*1,("Var_Fin"=[1]OUT_TransportEnergyCons!$B$3:$B$1000)*1,ISNUMBER(SEARCH("GSL",[1]OUT_TransportEnergyCons!$C$3:$C$1000))*1,[1]OUT_TransportEnergyCons!G$3:G$1000)</f>
        <v>0.86666833502495644</v>
      </c>
      <c r="J1163" s="1" cm="1">
        <f t="array" ref="J1163">SUMPRODUCT(("T_C-HY-GSL-S3"=[1]OUT_TransportEnergyCons!$A$3:$A$1000)*1,("Var_Fin"=[1]OUT_TransportEnergyCons!$B$3:$B$1000)*1,ISNUMBER(SEARCH("GSL",[1]OUT_TransportEnergyCons!$C$3:$C$1000))*1,[1]OUT_TransportEnergyCons!H$3:H$1000)</f>
        <v>2.6819441297523721E-4</v>
      </c>
      <c r="K1163" s="1" cm="1">
        <f t="array" ref="K1163">SUMPRODUCT(("T_C-HY-GSL-S3"=[1]OUT_TransportEnergyCons!$A$3:$A$1000)*1,("Var_Fin"=[1]OUT_TransportEnergyCons!$B$3:$B$1000)*1,ISNUMBER(SEARCH("GSL",[1]OUT_TransportEnergyCons!$C$3:$C$1000))*1,[1]OUT_TransportEnergyCons!I$3:I$1000)</f>
        <v>0</v>
      </c>
    </row>
    <row r="1164" spans="2:11" x14ac:dyDescent="0.35">
      <c r="B1164" s="5" t="str">
        <f t="shared" si="745"/>
        <v>SPS2</v>
      </c>
      <c r="C1164" s="5" t="str">
        <f t="shared" si="744"/>
        <v>CH</v>
      </c>
      <c r="D1164" t="s">
        <v>1267</v>
      </c>
      <c r="E1164" t="s">
        <v>8</v>
      </c>
      <c r="F1164" s="1" cm="1">
        <f t="array" ref="F1164">SUMPRODUCT(("T_C-HY-GSL-S4"=[1]OUT_TransportEnergyCons!$A$3:$A$1000)*1,("Var_Fin"=[1]OUT_TransportEnergyCons!$B$3:$B$1000)*1,ISNUMBER(SEARCH("GSL",[1]OUT_TransportEnergyCons!$C$3:$C$1000))*1,[1]OUT_TransportEnergyCons!D$3:D$1000)</f>
        <v>8.8647127360377942E-2</v>
      </c>
      <c r="G1164" s="1" cm="1">
        <f t="array" ref="G1164">SUMPRODUCT(("T_C-HY-GSL-S4"=[1]OUT_TransportEnergyCons!$A$3:$A$1000)*1,("Var_Fin"=[1]OUT_TransportEnergyCons!$B$3:$B$1000)*1,ISNUMBER(SEARCH("GSL",[1]OUT_TransportEnergyCons!$C$3:$C$1000))*1,[1]OUT_TransportEnergyCons!E$3:E$1000)</f>
        <v>0.13705259065122483</v>
      </c>
      <c r="H1164" s="1" cm="1">
        <f t="array" ref="H1164">SUMPRODUCT(("T_C-HY-GSL-S4"=[1]OUT_TransportEnergyCons!$A$3:$A$1000)*1,("Var_Fin"=[1]OUT_TransportEnergyCons!$B$3:$B$1000)*1,ISNUMBER(SEARCH("GSL",[1]OUT_TransportEnergyCons!$C$3:$C$1000))*1,[1]OUT_TransportEnergyCons!F$3:F$1000)</f>
        <v>0.13206570105763776</v>
      </c>
      <c r="I1164" s="1" cm="1">
        <f t="array" ref="I1164">SUMPRODUCT(("T_C-HY-GSL-S4"=[1]OUT_TransportEnergyCons!$A$3:$A$1000)*1,("Var_Fin"=[1]OUT_TransportEnergyCons!$B$3:$B$1000)*1,ISNUMBER(SEARCH("GSL",[1]OUT_TransportEnergyCons!$C$3:$C$1000))*1,[1]OUT_TransportEnergyCons!G$3:G$1000)</f>
        <v>0.11009946131733543</v>
      </c>
      <c r="J1164" s="1" cm="1">
        <f t="array" ref="J1164">SUMPRODUCT(("T_C-HY-GSL-S4"=[1]OUT_TransportEnergyCons!$A$3:$A$1000)*1,("Var_Fin"=[1]OUT_TransportEnergyCons!$B$3:$B$1000)*1,ISNUMBER(SEARCH("GSL",[1]OUT_TransportEnergyCons!$C$3:$C$1000))*1,[1]OUT_TransportEnergyCons!H$3:H$1000)</f>
        <v>2.7835496241219581E-4</v>
      </c>
      <c r="K1164" s="1" cm="1">
        <f t="array" ref="K1164">SUMPRODUCT(("T_C-HY-GSL-S4"=[1]OUT_TransportEnergyCons!$A$3:$A$1000)*1,("Var_Fin"=[1]OUT_TransportEnergyCons!$B$3:$B$1000)*1,ISNUMBER(SEARCH("GSL",[1]OUT_TransportEnergyCons!$C$3:$C$1000))*1,[1]OUT_TransportEnergyCons!I$3:I$1000)</f>
        <v>0</v>
      </c>
    </row>
    <row r="1165" spans="2:11" x14ac:dyDescent="0.35">
      <c r="B1165" s="5" t="str">
        <f t="shared" si="745"/>
        <v>SPS2</v>
      </c>
      <c r="C1165" s="5" t="str">
        <f t="shared" si="744"/>
        <v>CH</v>
      </c>
      <c r="D1165" t="s">
        <v>1268</v>
      </c>
      <c r="E1165" t="s">
        <v>8</v>
      </c>
      <c r="F1165" s="1" cm="1">
        <f t="array" ref="F1165">SUMPRODUCT(("T_C-ICEGSLEXT"=[1]OUT_TransportEnergyCons!$A$3:$A$1000)*1,("Var_Fin"=[1]OUT_TransportEnergyCons!$B$3:$B$1000)*1,ISNUMBER(SEARCH("GSL",[1]OUT_TransportEnergyCons!$C$3:$C$1000))*1,[1]OUT_TransportEnergyCons!D$3:D$1000)</f>
        <v>63.987652241455855</v>
      </c>
      <c r="G1165" s="1" cm="1">
        <f t="array" ref="G1165">SUMPRODUCT(("T_C-ICEGSLEXT"=[1]OUT_TransportEnergyCons!$A$3:$A$1000)*1,("Var_Fin"=[1]OUT_TransportEnergyCons!$B$3:$B$1000)*1,ISNUMBER(SEARCH("GSL",[1]OUT_TransportEnergyCons!$C$3:$C$1000))*1,[1]OUT_TransportEnergyCons!E$3:E$1000)</f>
        <v>53.16416790866392</v>
      </c>
      <c r="H1165" s="1" cm="1">
        <f t="array" ref="H1165">SUMPRODUCT(("T_C-ICEGSLEXT"=[1]OUT_TransportEnergyCons!$A$3:$A$1000)*1,("Var_Fin"=[1]OUT_TransportEnergyCons!$B$3:$B$1000)*1,ISNUMBER(SEARCH("GSL",[1]OUT_TransportEnergyCons!$C$3:$C$1000))*1,[1]OUT_TransportEnergyCons!F$3:F$1000)</f>
        <v>46.839177494059236</v>
      </c>
      <c r="I1165" s="1" cm="1">
        <f t="array" ref="I1165">SUMPRODUCT(("T_C-ICEGSLEXT"=[1]OUT_TransportEnergyCons!$A$3:$A$1000)*1,("Var_Fin"=[1]OUT_TransportEnergyCons!$B$3:$B$1000)*1,ISNUMBER(SEARCH("GSL",[1]OUT_TransportEnergyCons!$C$3:$C$1000))*1,[1]OUT_TransportEnergyCons!G$3:G$1000)</f>
        <v>11.881993019945</v>
      </c>
      <c r="J1165" s="1" cm="1">
        <f t="array" ref="J1165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5" s="1" cm="1">
        <f t="array" ref="K1165">SUMPRODUCT(("T_C-ICEGSLEXT"=[1]OUT_TransportEnergyCons!$A$3:$A$1000)*1,("Var_Fin"=[1]OUT_TransportEnergyCons!$B$3:$B$1000)*1,ISNUMBER(SEARCH("GSL",[1]OUT_TransportEnergyCons!$C$3:$C$1000))*1,[1]OUT_TransportEnergyCons!I$3:I$1000)</f>
        <v>0</v>
      </c>
    </row>
    <row r="1166" spans="2:11" x14ac:dyDescent="0.35">
      <c r="B1166" s="5" t="str">
        <f t="shared" si="745"/>
        <v>SPS2</v>
      </c>
      <c r="C1166" s="5" t="str">
        <f t="shared" si="744"/>
        <v>CH</v>
      </c>
      <c r="D1166" t="s">
        <v>1269</v>
      </c>
      <c r="E1166" t="s">
        <v>8</v>
      </c>
      <c r="F1166" s="1" cm="1">
        <f t="array" ref="F1166">SUMPRODUCT(("T_C-ICE-GSL-S1"=[1]OUT_TransportEnergyCons!$A$3:$A$1000)*1,("Var_Fin"=[1]OUT_TransportEnergyCons!$B$3:$B$1000)*1,ISNUMBER(SEARCH("GSL",[1]OUT_TransportEnergyCons!$C$3:$C$1000))*1,[1]OUT_TransportEnergyCons!D$3:D$1000)</f>
        <v>0.35955466695330773</v>
      </c>
      <c r="G1166" s="1" cm="1">
        <f t="array" ref="G1166">SUMPRODUCT(("T_C-ICE-GSL-S1"=[1]OUT_TransportEnergyCons!$A$3:$A$1000)*1,("Var_Fin"=[1]OUT_TransportEnergyCons!$B$3:$B$1000)*1,ISNUMBER(SEARCH("GSL",[1]OUT_TransportEnergyCons!$C$3:$C$1000))*1,[1]OUT_TransportEnergyCons!E$3:E$1000)</f>
        <v>0.55774971678287522</v>
      </c>
      <c r="H1166" s="1" cm="1">
        <f t="array" ref="H1166">SUMPRODUCT(("T_C-ICE-GSL-S1"=[1]OUT_TransportEnergyCons!$A$3:$A$1000)*1,("Var_Fin"=[1]OUT_TransportEnergyCons!$B$3:$B$1000)*1,ISNUMBER(SEARCH("GSL",[1]OUT_TransportEnergyCons!$C$3:$C$1000))*1,[1]OUT_TransportEnergyCons!F$3:F$1000)</f>
        <v>1.2921037040771015</v>
      </c>
      <c r="I1166" s="1" cm="1">
        <f t="array" ref="I1166">SUMPRODUCT(("T_C-ICE-GSL-S1"=[1]OUT_TransportEnergyCons!$A$3:$A$1000)*1,("Var_Fin"=[1]OUT_TransportEnergyCons!$B$3:$B$1000)*1,ISNUMBER(SEARCH("GSL",[1]OUT_TransportEnergyCons!$C$3:$C$1000))*1,[1]OUT_TransportEnergyCons!G$3:G$1000)</f>
        <v>1.0910207165132302</v>
      </c>
      <c r="J1166" s="1" cm="1">
        <f t="array" ref="J1166">SUMPRODUCT(("T_C-ICE-GSL-S1"=[1]OUT_TransportEnergyCons!$A$3:$A$1000)*1,("Var_Fin"=[1]OUT_TransportEnergyCons!$B$3:$B$1000)*1,ISNUMBER(SEARCH("GSL",[1]OUT_TransportEnergyCons!$C$3:$C$1000))*1,[1]OUT_TransportEnergyCons!H$3:H$1000)</f>
        <v>7.7059564653527618E-2</v>
      </c>
      <c r="K1166" s="1" cm="1">
        <f t="array" ref="K1166">SUMPRODUCT(("T_C-ICE-GSL-S1"=[1]OUT_TransportEnergyCons!$A$3:$A$1000)*1,("Var_Fin"=[1]OUT_TransportEnergyCons!$B$3:$B$1000)*1,ISNUMBER(SEARCH("GSL",[1]OUT_TransportEnergyCons!$C$3:$C$1000))*1,[1]OUT_TransportEnergyCons!I$3:I$1000)</f>
        <v>0</v>
      </c>
    </row>
    <row r="1167" spans="2:11" x14ac:dyDescent="0.35">
      <c r="B1167" s="5" t="str">
        <f t="shared" si="745"/>
        <v>SPS2</v>
      </c>
      <c r="C1167" s="5" t="str">
        <f t="shared" si="744"/>
        <v>CH</v>
      </c>
      <c r="D1167" t="s">
        <v>1270</v>
      </c>
      <c r="E1167" t="s">
        <v>8</v>
      </c>
      <c r="F1167" s="1" cm="1">
        <f t="array" ref="F1167">SUMPRODUCT(("T_C-ICE-GSL-S2"=[1]OUT_TransportEnergyCons!$A$3:$A$1000)*1,("Var_Fin"=[1]OUT_TransportEnergyCons!$B$3:$B$1000)*1,ISNUMBER(SEARCH("GSL",[1]OUT_TransportEnergyCons!$C$3:$C$1000))*1,[1]OUT_TransportEnergyCons!D$3:D$1000)</f>
        <v>3.4268401715153445</v>
      </c>
      <c r="G1167" s="1" cm="1">
        <f t="array" ref="G1167">SUMPRODUCT(("T_C-ICE-GSL-S2"=[1]OUT_TransportEnergyCons!$A$3:$A$1000)*1,("Var_Fin"=[1]OUT_TransportEnergyCons!$B$3:$B$1000)*1,ISNUMBER(SEARCH("GSL",[1]OUT_TransportEnergyCons!$C$3:$C$1000))*1,[1]OUT_TransportEnergyCons!E$3:E$1000)</f>
        <v>5.3092002799134894</v>
      </c>
      <c r="H1167" s="1" cm="1">
        <f t="array" ref="H1167">SUMPRODUCT(("T_C-ICE-GSL-S2"=[1]OUT_TransportEnergyCons!$A$3:$A$1000)*1,("Var_Fin"=[1]OUT_TransportEnergyCons!$B$3:$B$1000)*1,ISNUMBER(SEARCH("GSL",[1]OUT_TransportEnergyCons!$C$3:$C$1000))*1,[1]OUT_TransportEnergyCons!F$3:F$1000)</f>
        <v>5.8782169816066379</v>
      </c>
      <c r="I1167" s="1" cm="1">
        <f t="array" ref="I1167">SUMPRODUCT(("T_C-ICE-GSL-S2"=[1]OUT_TransportEnergyCons!$A$3:$A$1000)*1,("Var_Fin"=[1]OUT_TransportEnergyCons!$B$3:$B$1000)*1,ISNUMBER(SEARCH("GSL",[1]OUT_TransportEnergyCons!$C$3:$C$1000))*1,[1]OUT_TransportEnergyCons!G$3:G$1000)</f>
        <v>6.6591680913279676</v>
      </c>
      <c r="J1167" s="1" cm="1">
        <f t="array" ref="J1167">SUMPRODUCT(("T_C-ICE-GSL-S2"=[1]OUT_TransportEnergyCons!$A$3:$A$1000)*1,("Var_Fin"=[1]OUT_TransportEnergyCons!$B$3:$B$1000)*1,ISNUMBER(SEARCH("GSL",[1]OUT_TransportEnergyCons!$C$3:$C$1000))*1,[1]OUT_TransportEnergyCons!H$3:H$1000)</f>
        <v>0.17747156762274605</v>
      </c>
      <c r="K1167" s="1" cm="1">
        <f t="array" ref="K1167">SUMPRODUCT(("T_C-ICE-GSL-S2"=[1]OUT_TransportEnergyCons!$A$3:$A$1000)*1,("Var_Fin"=[1]OUT_TransportEnergyCons!$B$3:$B$1000)*1,ISNUMBER(SEARCH("GSL",[1]OUT_TransportEnergyCons!$C$3:$C$1000))*1,[1]OUT_TransportEnergyCons!I$3:I$1000)</f>
        <v>0</v>
      </c>
    </row>
    <row r="1168" spans="2:11" x14ac:dyDescent="0.35">
      <c r="B1168" s="5" t="str">
        <f t="shared" si="745"/>
        <v>SPS2</v>
      </c>
      <c r="C1168" s="5" t="str">
        <f t="shared" si="744"/>
        <v>CH</v>
      </c>
      <c r="D1168" t="s">
        <v>1271</v>
      </c>
      <c r="E1168" t="s">
        <v>8</v>
      </c>
      <c r="F1168" s="1" cm="1">
        <f t="array" ref="F1168">SUMPRODUCT(("T_C-ICE-GSL-S3"=[1]OUT_TransportEnergyCons!$A$3:$A$1000)*1,("Var_Fin"=[1]OUT_TransportEnergyCons!$B$3:$B$1000)*1,ISNUMBER(SEARCH("GSL",[1]OUT_TransportEnergyCons!$C$3:$C$1000))*1,[1]OUT_TransportEnergyCons!D$3:D$1000)</f>
        <v>3.5990587468677</v>
      </c>
      <c r="G1168" s="1" cm="1">
        <f t="array" ref="G1168">SUMPRODUCT(("T_C-ICE-GSL-S3"=[1]OUT_TransportEnergyCons!$A$3:$A$1000)*1,("Var_Fin"=[1]OUT_TransportEnergyCons!$B$3:$B$1000)*1,ISNUMBER(SEARCH("GSL",[1]OUT_TransportEnergyCons!$C$3:$C$1000))*1,[1]OUT_TransportEnergyCons!E$3:E$1000)</f>
        <v>5.7450248756260551</v>
      </c>
      <c r="H1168" s="1" cm="1">
        <f t="array" ref="H1168">SUMPRODUCT(("T_C-ICE-GSL-S3"=[1]OUT_TransportEnergyCons!$A$3:$A$1000)*1,("Var_Fin"=[1]OUT_TransportEnergyCons!$B$3:$B$1000)*1,ISNUMBER(SEARCH("GSL",[1]OUT_TransportEnergyCons!$C$3:$C$1000))*1,[1]OUT_TransportEnergyCons!F$3:F$1000)</f>
        <v>5.6751425370092043</v>
      </c>
      <c r="I1168" s="1" cm="1">
        <f t="array" ref="I1168">SUMPRODUCT(("T_C-ICE-GSL-S3"=[1]OUT_TransportEnergyCons!$A$3:$A$1000)*1,("Var_Fin"=[1]OUT_TransportEnergyCons!$B$3:$B$1000)*1,ISNUMBER(SEARCH("GSL",[1]OUT_TransportEnergyCons!$C$3:$C$1000))*1,[1]OUT_TransportEnergyCons!G$3:G$1000)</f>
        <v>4.5733264651040537</v>
      </c>
      <c r="J1168" s="1" cm="1">
        <f t="array" ref="J1168">SUMPRODUCT(("T_C-ICE-GSL-S3"=[1]OUT_TransportEnergyCons!$A$3:$A$1000)*1,("Var_Fin"=[1]OUT_TransportEnergyCons!$B$3:$B$1000)*1,ISNUMBER(SEARCH("GSL",[1]OUT_TransportEnergyCons!$C$3:$C$1000))*1,[1]OUT_TransportEnergyCons!H$3:H$1000)</f>
        <v>1.7354952112370202E-3</v>
      </c>
      <c r="K1168" s="1" cm="1">
        <f t="array" ref="K1168">SUMPRODUCT(("T_C-ICE-GSL-S3"=[1]OUT_TransportEnergyCons!$A$3:$A$1000)*1,("Var_Fin"=[1]OUT_TransportEnergyCons!$B$3:$B$1000)*1,ISNUMBER(SEARCH("GSL",[1]OUT_TransportEnergyCons!$C$3:$C$1000))*1,[1]OUT_TransportEnergyCons!I$3:I$1000)</f>
        <v>0</v>
      </c>
    </row>
    <row r="1169" spans="2:18" x14ac:dyDescent="0.35">
      <c r="B1169" s="5" t="str">
        <f t="shared" si="745"/>
        <v>SPS2</v>
      </c>
      <c r="C1169" s="5" t="str">
        <f t="shared" si="744"/>
        <v>CH</v>
      </c>
      <c r="D1169" t="s">
        <v>1272</v>
      </c>
      <c r="E1169" t="s">
        <v>8</v>
      </c>
      <c r="F1169" s="1" cm="1">
        <f t="array" ref="F1169">SUMPRODUCT(("T_C-ICE-GSL-S4"=[1]OUT_TransportEnergyCons!$A$3:$A$1000)*1,("Var_Fin"=[1]OUT_TransportEnergyCons!$B$3:$B$1000)*1,ISNUMBER(SEARCH("GSL",[1]OUT_TransportEnergyCons!$C$3:$C$1000))*1,[1]OUT_TransportEnergyCons!D$3:D$1000)</f>
        <v>3.225684486254536</v>
      </c>
      <c r="G1169" s="1" cm="1">
        <f t="array" ref="G1169">SUMPRODUCT(("T_C-ICE-GSL-S4"=[1]OUT_TransportEnergyCons!$A$3:$A$1000)*1,("Var_Fin"=[1]OUT_TransportEnergyCons!$B$3:$B$1000)*1,ISNUMBER(SEARCH("GSL",[1]OUT_TransportEnergyCons!$C$3:$C$1000))*1,[1]OUT_TransportEnergyCons!E$3:E$1000)</f>
        <v>5.2572464827080045</v>
      </c>
      <c r="H1169" s="1" cm="1">
        <f t="array" ref="H1169">SUMPRODUCT(("T_C-ICE-GSL-S4"=[1]OUT_TransportEnergyCons!$A$3:$A$1000)*1,("Var_Fin"=[1]OUT_TransportEnergyCons!$B$3:$B$1000)*1,ISNUMBER(SEARCH("GSL",[1]OUT_TransportEnergyCons!$C$3:$C$1000))*1,[1]OUT_TransportEnergyCons!F$3:F$1000)</f>
        <v>7.8186988919762568</v>
      </c>
      <c r="I1169" s="1" cm="1">
        <f t="array" ref="I1169">SUMPRODUCT(("T_C-ICE-GSL-S4"=[1]OUT_TransportEnergyCons!$A$3:$A$1000)*1,("Var_Fin"=[1]OUT_TransportEnergyCons!$B$3:$B$1000)*1,ISNUMBER(SEARCH("GSL",[1]OUT_TransportEnergyCons!$C$3:$C$1000))*1,[1]OUT_TransportEnergyCons!G$3:G$1000)</f>
        <v>6.4269424392133487</v>
      </c>
      <c r="J1169" s="1" cm="1">
        <f t="array" ref="J1169">SUMPRODUCT(("T_C-ICE-GSL-S4"=[1]OUT_TransportEnergyCons!$A$3:$A$1000)*1,("Var_Fin"=[1]OUT_TransportEnergyCons!$B$3:$B$1000)*1,ISNUMBER(SEARCH("GSL",[1]OUT_TransportEnergyCons!$C$3:$C$1000))*1,[1]OUT_TransportEnergyCons!H$3:H$1000)</f>
        <v>0.15776559065950754</v>
      </c>
      <c r="K1169" s="1" cm="1">
        <f t="array" ref="K1169">SUMPRODUCT(("T_C-ICE-GSL-S4"=[1]OUT_TransportEnergyCons!$A$3:$A$1000)*1,("Var_Fin"=[1]OUT_TransportEnergyCons!$B$3:$B$1000)*1,ISNUMBER(SEARCH("GSL",[1]OUT_TransportEnergyCons!$C$3:$C$1000))*1,[1]OUT_TransportEnergyCons!I$3:I$1000)</f>
        <v>0</v>
      </c>
    </row>
    <row r="1170" spans="2:18" x14ac:dyDescent="0.35">
      <c r="B1170" s="5" t="str">
        <f t="shared" si="745"/>
        <v>SPS2</v>
      </c>
      <c r="C1170" s="5" t="str">
        <f t="shared" si="744"/>
        <v>CH</v>
      </c>
      <c r="D1170" t="s">
        <v>1273</v>
      </c>
      <c r="E1170" t="s">
        <v>8</v>
      </c>
      <c r="F1170" s="1" cm="1">
        <f t="array" ref="F1170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0" s="1" cm="1">
        <f t="array" ref="G1170">SUMPRODUCT(("T_C-MHY-GSL-S1"=[1]OUT_TransportEnergyCons!$A$3:$A$1000)*1,("Var_Fin"=[1]OUT_TransportEnergyCons!$B$3:$B$1000)*1,ISNUMBER(SEARCH("GSL",[1]OUT_TransportEnergyCons!$C$3:$C$1000))*1,[1]OUT_TransportEnergyCons!E$3:E$1000)</f>
        <v>1.0790864911684051E-3</v>
      </c>
      <c r="H1170" s="1" cm="1">
        <f t="array" ref="H1170">SUMPRODUCT(("T_C-MHY-GSL-S1"=[1]OUT_TransportEnergyCons!$A$3:$A$1000)*1,("Var_Fin"=[1]OUT_TransportEnergyCons!$B$3:$B$1000)*1,ISNUMBER(SEARCH("GSL",[1]OUT_TransportEnergyCons!$C$3:$C$1000))*1,[1]OUT_TransportEnergyCons!F$3:F$1000)</f>
        <v>1.9556134429332423E-3</v>
      </c>
      <c r="I1170" s="1" cm="1">
        <f t="array" ref="I1170">SUMPRODUCT(("T_C-MHY-GSL-S1"=[1]OUT_TransportEnergyCons!$A$3:$A$1000)*1,("Var_Fin"=[1]OUT_TransportEnergyCons!$B$3:$B$1000)*1,ISNUMBER(SEARCH("GSL",[1]OUT_TransportEnergyCons!$C$3:$C$1000))*1,[1]OUT_TransportEnergyCons!G$3:G$1000)</f>
        <v>2.6051978248607575E-3</v>
      </c>
      <c r="J1170" s="1" cm="1">
        <f t="array" ref="J1170">SUMPRODUCT(("T_C-MHY-GSL-S1"=[1]OUT_TransportEnergyCons!$A$3:$A$1000)*1,("Var_Fin"=[1]OUT_TransportEnergyCons!$B$3:$B$1000)*1,ISNUMBER(SEARCH("GSL",[1]OUT_TransportEnergyCons!$C$3:$C$1000))*1,[1]OUT_TransportEnergyCons!H$3:H$1000)</f>
        <v>4.5679839636234411E-4</v>
      </c>
      <c r="K1170" s="1" cm="1">
        <f t="array" ref="K1170">SUMPRODUCT(("T_C-MHY-GSL-S1"=[1]OUT_TransportEnergyCons!$A$3:$A$1000)*1,("Var_Fin"=[1]OUT_TransportEnergyCons!$B$3:$B$1000)*1,ISNUMBER(SEARCH("GSL",[1]OUT_TransportEnergyCons!$C$3:$C$1000))*1,[1]OUT_TransportEnergyCons!I$3:I$1000)</f>
        <v>0</v>
      </c>
    </row>
    <row r="1171" spans="2:18" x14ac:dyDescent="0.35">
      <c r="B1171" s="5" t="str">
        <f t="shared" si="745"/>
        <v>SPS2</v>
      </c>
      <c r="C1171" s="5" t="str">
        <f t="shared" si="744"/>
        <v>CH</v>
      </c>
      <c r="D1171" t="s">
        <v>1274</v>
      </c>
      <c r="E1171" t="s">
        <v>8</v>
      </c>
      <c r="F1171" s="1" cm="1">
        <f t="array" ref="F1171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1" s="1" cm="1">
        <f t="array" ref="G1171">SUMPRODUCT(("T_C-MHY-GSL-S2"=[1]OUT_TransportEnergyCons!$A$3:$A$1000)*1,("Var_Fin"=[1]OUT_TransportEnergyCons!$B$3:$B$1000)*1,ISNUMBER(SEARCH("GSL",[1]OUT_TransportEnergyCons!$C$3:$C$1000))*1,[1]OUT_TransportEnergyCons!E$3:E$1000)</f>
        <v>8.5118342481294864E-4</v>
      </c>
      <c r="H1171" s="1" cm="1">
        <f t="array" ref="H1171">SUMPRODUCT(("T_C-MHY-GSL-S2"=[1]OUT_TransportEnergyCons!$A$3:$A$1000)*1,("Var_Fin"=[1]OUT_TransportEnergyCons!$B$3:$B$1000)*1,ISNUMBER(SEARCH("GSL",[1]OUT_TransportEnergyCons!$C$3:$C$1000))*1,[1]OUT_TransportEnergyCons!F$3:F$1000)</f>
        <v>2.3567232634548511E-3</v>
      </c>
      <c r="I1171" s="1" cm="1">
        <f t="array" ref="I1171">SUMPRODUCT(("T_C-MHY-GSL-S2"=[1]OUT_TransportEnergyCons!$A$3:$A$1000)*1,("Var_Fin"=[1]OUT_TransportEnergyCons!$B$3:$B$1000)*1,ISNUMBER(SEARCH("GSL",[1]OUT_TransportEnergyCons!$C$3:$C$1000))*1,[1]OUT_TransportEnergyCons!G$3:G$1000)</f>
        <v>2.9457659975028697E-3</v>
      </c>
      <c r="J1171" s="1" cm="1">
        <f t="array" ref="J1171">SUMPRODUCT(("T_C-MHY-GSL-S2"=[1]OUT_TransportEnergyCons!$A$3:$A$1000)*1,("Var_Fin"=[1]OUT_TransportEnergyCons!$B$3:$B$1000)*1,ISNUMBER(SEARCH("GSL",[1]OUT_TransportEnergyCons!$C$3:$C$1000))*1,[1]OUT_TransportEnergyCons!H$3:H$1000)</f>
        <v>4.345104355908243E-4</v>
      </c>
      <c r="K1171" s="1" cm="1">
        <f t="array" ref="K1171">SUMPRODUCT(("T_C-MHY-GSL-S2"=[1]OUT_TransportEnergyCons!$A$3:$A$1000)*1,("Var_Fin"=[1]OUT_TransportEnergyCons!$B$3:$B$1000)*1,ISNUMBER(SEARCH("GSL",[1]OUT_TransportEnergyCons!$C$3:$C$1000))*1,[1]OUT_TransportEnergyCons!I$3:I$1000)</f>
        <v>0</v>
      </c>
    </row>
    <row r="1172" spans="2:18" x14ac:dyDescent="0.35">
      <c r="B1172" s="5" t="str">
        <f t="shared" si="745"/>
        <v>SPS2</v>
      </c>
      <c r="C1172" s="5" t="str">
        <f t="shared" si="744"/>
        <v>CH</v>
      </c>
      <c r="D1172" t="s">
        <v>1275</v>
      </c>
      <c r="E1172" t="s">
        <v>8</v>
      </c>
      <c r="F1172" s="1" cm="1">
        <f t="array" ref="F1172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SUMPRODUCT(("T_C-MHY-GSL-S3"=[1]OUT_TransportEnergyCons!$A$3:$A$1000)*1,("Var_Fin"=[1]OUT_TransportEnergyCons!$B$3:$B$1000)*1,ISNUMBER(SEARCH("GSL",[1]OUT_TransportEnergyCons!$C$3:$C$1000))*1,[1]OUT_TransportEnergyCons!E$3:E$1000)</f>
        <v>1.1231796074207471E-3</v>
      </c>
      <c r="H1172" s="1" cm="1">
        <f t="array" ref="H1172">SUMPRODUCT(("T_C-MHY-GSL-S3"=[1]OUT_TransportEnergyCons!$A$3:$A$1000)*1,("Var_Fin"=[1]OUT_TransportEnergyCons!$B$3:$B$1000)*1,ISNUMBER(SEARCH("GSL",[1]OUT_TransportEnergyCons!$C$3:$C$1000))*1,[1]OUT_TransportEnergyCons!F$3:F$1000)</f>
        <v>2.79823715632762E-3</v>
      </c>
      <c r="I1172" s="1" cm="1">
        <f t="array" ref="I1172">SUMPRODUCT(("T_C-MHY-GSL-S3"=[1]OUT_TransportEnergyCons!$A$3:$A$1000)*1,("Var_Fin"=[1]OUT_TransportEnergyCons!$B$3:$B$1000)*1,ISNUMBER(SEARCH("GSL",[1]OUT_TransportEnergyCons!$C$3:$C$1000))*1,[1]OUT_TransportEnergyCons!G$3:G$1000)</f>
        <v>3.2037159098584067E-3</v>
      </c>
      <c r="J1172" s="1" cm="1">
        <f t="array" ref="J1172">SUMPRODUCT(("T_C-MHY-GSL-S3"=[1]OUT_TransportEnergyCons!$A$3:$A$1000)*1,("Var_Fin"=[1]OUT_TransportEnergyCons!$B$3:$B$1000)*1,ISNUMBER(SEARCH("GSL",[1]OUT_TransportEnergyCons!$C$3:$C$1000))*1,[1]OUT_TransportEnergyCons!H$3:H$1000)</f>
        <v>4.3169117080899965E-4</v>
      </c>
      <c r="K1172" s="1" cm="1">
        <f t="array" ref="K1172">SUMPRODUCT(("T_C-MHY-GSL-S3"=[1]OUT_TransportEnergyCons!$A$3:$A$1000)*1,("Var_Fin"=[1]OUT_TransportEnergyCons!$B$3:$B$1000)*1,ISNUMBER(SEARCH("GSL",[1]OUT_TransportEnergyCons!$C$3:$C$1000))*1,[1]OUT_TransportEnergyCons!I$3:I$1000)</f>
        <v>0</v>
      </c>
    </row>
    <row r="1173" spans="2:18" x14ac:dyDescent="0.35">
      <c r="B1173" s="5" t="str">
        <f t="shared" si="745"/>
        <v>SPS2</v>
      </c>
      <c r="C1173" s="5" t="str">
        <f t="shared" si="744"/>
        <v>CH</v>
      </c>
      <c r="D1173" t="s">
        <v>1276</v>
      </c>
      <c r="E1173" t="s">
        <v>8</v>
      </c>
      <c r="F1173" s="1" cm="1">
        <f t="array" ref="F1173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SUMPRODUCT(("T_C-MHY-GSL-S4"=[1]OUT_TransportEnergyCons!$A$3:$A$1000)*1,("Var_Fin"=[1]OUT_TransportEnergyCons!$B$3:$B$1000)*1,ISNUMBER(SEARCH("GSL",[1]OUT_TransportEnergyCons!$C$3:$C$1000))*1,[1]OUT_TransportEnergyCons!E$3:E$1000)</f>
        <v>1.3715075803090598E-3</v>
      </c>
      <c r="H1173" s="1" cm="1">
        <f t="array" ref="H1173">SUMPRODUCT(("T_C-MHY-GSL-S4"=[1]OUT_TransportEnergyCons!$A$3:$A$1000)*1,("Var_Fin"=[1]OUT_TransportEnergyCons!$B$3:$B$1000)*1,ISNUMBER(SEARCH("GSL",[1]OUT_TransportEnergyCons!$C$3:$C$1000))*1,[1]OUT_TransportEnergyCons!F$3:F$1000)</f>
        <v>3.5401400920086865E-3</v>
      </c>
      <c r="I1173" s="1" cm="1">
        <f t="array" ref="I1173">SUMPRODUCT(("T_C-MHY-GSL-S4"=[1]OUT_TransportEnergyCons!$A$3:$A$1000)*1,("Var_Fin"=[1]OUT_TransportEnergyCons!$B$3:$B$1000)*1,ISNUMBER(SEARCH("GSL",[1]OUT_TransportEnergyCons!$C$3:$C$1000))*1,[1]OUT_TransportEnergyCons!G$3:G$1000)</f>
        <v>3.9620552699275663E-3</v>
      </c>
      <c r="J1173" s="1" cm="1">
        <f t="array" ref="J1173">SUMPRODUCT(("T_C-MHY-GSL-S4"=[1]OUT_TransportEnergyCons!$A$3:$A$1000)*1,("Var_Fin"=[1]OUT_TransportEnergyCons!$B$3:$B$1000)*1,ISNUMBER(SEARCH("GSL",[1]OUT_TransportEnergyCons!$C$3:$C$1000))*1,[1]OUT_TransportEnergyCons!H$3:H$1000)</f>
        <v>5.0890303138880399E-4</v>
      </c>
      <c r="K1173" s="1" cm="1">
        <f t="array" ref="K1173">SUMPRODUCT(("T_C-MHY-GSL-S4"=[1]OUT_TransportEnergyCons!$A$3:$A$1000)*1,("Var_Fin"=[1]OUT_TransportEnergyCons!$B$3:$B$1000)*1,ISNUMBER(SEARCH("GSL",[1]OUT_TransportEnergyCons!$C$3:$C$1000))*1,[1]OUT_TransportEnergyCons!I$3:I$1000)</f>
        <v>0</v>
      </c>
    </row>
    <row r="1174" spans="2:18" x14ac:dyDescent="0.35">
      <c r="B1174" s="5" t="str">
        <f t="shared" si="745"/>
        <v>SPS2</v>
      </c>
      <c r="C1174" s="5" t="str">
        <f t="shared" si="744"/>
        <v>CH</v>
      </c>
      <c r="D1174" t="s">
        <v>1277</v>
      </c>
      <c r="E1174" t="s">
        <v>8</v>
      </c>
      <c r="F1174" s="1" cm="1">
        <f t="array" ref="F1174">SUMPRODUCT(("T-Plg-GSL-mix_S1"=[1]OUT_TransportEnergyCons!$A$3:$A$1000)*1,("Var_Fin"=[1]OUT_TransportEnergyCons!$B$3:$B$1000)*1,ISNUMBER(SEARCH("GSL",[1]OUT_TransportEnergyCons!$C$3:$C$1000))*1,[1]OUT_TransportEnergyCons!D$3:D$1000)</f>
        <v>3.0571493419255053E-4</v>
      </c>
      <c r="G1174" s="1" cm="1">
        <f t="array" ref="G1174">SUMPRODUCT(("T-Plg-GSL-mix_S1"=[1]OUT_TransportEnergyCons!$A$3:$A$1000)*1,("Var_Fin"=[1]OUT_TransportEnergyCons!$B$3:$B$1000)*1,ISNUMBER(SEARCH("GSL",[1]OUT_TransportEnergyCons!$C$3:$C$1000))*1,[1]OUT_TransportEnergyCons!E$3:E$1000)</f>
        <v>2.5150752503540802E-3</v>
      </c>
      <c r="H1174" s="1" cm="1">
        <f t="array" ref="H1174">SUMPRODUCT(("T-Plg-GSL-mix_S1"=[1]OUT_TransportEnergyCons!$A$3:$A$1000)*1,("Var_Fin"=[1]OUT_TransportEnergyCons!$B$3:$B$1000)*1,ISNUMBER(SEARCH("GSL",[1]OUT_TransportEnergyCons!$C$3:$C$1000))*1,[1]OUT_TransportEnergyCons!F$3:F$1000)</f>
        <v>3.0582548341037794E-3</v>
      </c>
      <c r="I1174" s="1" cm="1">
        <f t="array" ref="I1174">SUMPRODUCT(("T-Plg-GSL-mix_S1"=[1]OUT_TransportEnergyCons!$A$3:$A$1000)*1,("Var_Fin"=[1]OUT_TransportEnergyCons!$B$3:$B$1000)*1,ISNUMBER(SEARCH("GSL",[1]OUT_TransportEnergyCons!$C$3:$C$1000))*1,[1]OUT_TransportEnergyCons!G$3:G$1000)</f>
        <v>9.5100711912671741E-3</v>
      </c>
      <c r="J1174" s="1" cm="1">
        <f t="array" ref="J1174">SUMPRODUCT(("T-Plg-GSL-mix_S1"=[1]OUT_TransportEnergyCons!$A$3:$A$1000)*1,("Var_Fin"=[1]OUT_TransportEnergyCons!$B$3:$B$1000)*1,ISNUMBER(SEARCH("GSL",[1]OUT_TransportEnergyCons!$C$3:$C$1000))*1,[1]OUT_TransportEnergyCons!H$3:H$1000)</f>
        <v>5.5826180097405557E-3</v>
      </c>
      <c r="K1174" s="1" cm="1">
        <f t="array" ref="K1174">SUMPRODUCT(("T-Plg-GSL-mix_S1"=[1]OUT_TransportEnergyCons!$A$3:$A$1000)*1,("Var_Fin"=[1]OUT_TransportEnergyCons!$B$3:$B$1000)*1,ISNUMBER(SEARCH("GSL",[1]OUT_TransportEnergyCons!$C$3:$C$1000))*1,[1]OUT_TransportEnergyCons!I$3:I$1000)</f>
        <v>6.9107761198665245E-4</v>
      </c>
    </row>
    <row r="1175" spans="2:18" x14ac:dyDescent="0.35">
      <c r="B1175" s="5" t="str">
        <f t="shared" si="745"/>
        <v>SPS2</v>
      </c>
      <c r="C1175" s="5" t="str">
        <f t="shared" si="744"/>
        <v>CH</v>
      </c>
      <c r="D1175" t="s">
        <v>1278</v>
      </c>
      <c r="E1175" t="s">
        <v>8</v>
      </c>
      <c r="F1175" s="1" cm="1">
        <f t="array" ref="F1175">SUMPRODUCT(("T-Plg-GSL-mix_S2"=[1]OUT_TransportEnergyCons!$A$3:$A$1000)*1,("Var_Fin"=[1]OUT_TransportEnergyCons!$B$3:$B$1000)*1,ISNUMBER(SEARCH("GSL",[1]OUT_TransportEnergyCons!$C$3:$C$1000))*1,[1]OUT_TransportEnergyCons!D$3:D$1000)</f>
        <v>7.1849386219118155E-2</v>
      </c>
      <c r="G1175" s="1" cm="1">
        <f t="array" ref="G1175">SUMPRODUCT(("T-Plg-GSL-mix_S2"=[1]OUT_TransportEnergyCons!$A$3:$A$1000)*1,("Var_Fin"=[1]OUT_TransportEnergyCons!$B$3:$B$1000)*1,ISNUMBER(SEARCH("GSL",[1]OUT_TransportEnergyCons!$C$3:$C$1000))*1,[1]OUT_TransportEnergyCons!E$3:E$1000)</f>
        <v>0.14920342646103024</v>
      </c>
      <c r="H1175" s="1" cm="1">
        <f t="array" ref="H1175">SUMPRODUCT(("T-Plg-GSL-mix_S2"=[1]OUT_TransportEnergyCons!$A$3:$A$1000)*1,("Var_Fin"=[1]OUT_TransportEnergyCons!$B$3:$B$1000)*1,ISNUMBER(SEARCH("GSL",[1]OUT_TransportEnergyCons!$C$3:$C$1000))*1,[1]OUT_TransportEnergyCons!F$3:F$1000)</f>
        <v>0.11237885225783963</v>
      </c>
      <c r="I1175" s="1" cm="1">
        <f t="array" ref="I1175">SUMPRODUCT(("T-Plg-GSL-mix_S2"=[1]OUT_TransportEnergyCons!$A$3:$A$1000)*1,("Var_Fin"=[1]OUT_TransportEnergyCons!$B$3:$B$1000)*1,ISNUMBER(SEARCH("GSL",[1]OUT_TransportEnergyCons!$C$3:$C$1000))*1,[1]OUT_TransportEnergyCons!G$3:G$1000)</f>
        <v>0.114347207083929</v>
      </c>
      <c r="J1175" s="1" cm="1">
        <f t="array" ref="J1175">SUMPRODUCT(("T-Plg-GSL-mix_S2"=[1]OUT_TransportEnergyCons!$A$3:$A$1000)*1,("Var_Fin"=[1]OUT_TransportEnergyCons!$B$3:$B$1000)*1,ISNUMBER(SEARCH("GSL",[1]OUT_TransportEnergyCons!$C$3:$C$1000))*1,[1]OUT_TransportEnergyCons!H$3:H$1000)</f>
        <v>3.1522667362670655E-2</v>
      </c>
      <c r="K1175" s="1" cm="1">
        <f t="array" ref="K1175">SUMPRODUCT(("T-Plg-GSL-mix_S2"=[1]OUT_TransportEnergyCons!$A$3:$A$1000)*1,("Var_Fin"=[1]OUT_TransportEnergyCons!$B$3:$B$1000)*1,ISNUMBER(SEARCH("GSL",[1]OUT_TransportEnergyCons!$C$3:$C$1000))*1,[1]OUT_TransportEnergyCons!I$3:I$1000)</f>
        <v>5.3727469485029032E-3</v>
      </c>
    </row>
    <row r="1176" spans="2:18" x14ac:dyDescent="0.35">
      <c r="B1176" s="5" t="str">
        <f t="shared" si="745"/>
        <v>SPS2</v>
      </c>
      <c r="C1176" s="5" t="str">
        <f t="shared" si="744"/>
        <v>CH</v>
      </c>
      <c r="D1176" t="s">
        <v>1279</v>
      </c>
      <c r="E1176" t="s">
        <v>8</v>
      </c>
      <c r="F1176" s="1" cm="1">
        <f t="array" ref="F1176">SUMPRODUCT(("T-Plg-GSL-mix_S3"=[1]OUT_TransportEnergyCons!$A$3:$A$1000)*1,("Var_Fin"=[1]OUT_TransportEnergyCons!$B$3:$B$1000)*1,ISNUMBER(SEARCH("GSL",[1]OUT_TransportEnergyCons!$C$3:$C$1000))*1,[1]OUT_TransportEnergyCons!D$3:D$1000)</f>
        <v>7.7287673238228174E-2</v>
      </c>
      <c r="G1176" s="1" cm="1">
        <f t="array" ref="G1176">SUMPRODUCT(("T-Plg-GSL-mix_S3"=[1]OUT_TransportEnergyCons!$A$3:$A$1000)*1,("Var_Fin"=[1]OUT_TransportEnergyCons!$B$3:$B$1000)*1,ISNUMBER(SEARCH("GSL",[1]OUT_TransportEnergyCons!$C$3:$C$1000))*1,[1]OUT_TransportEnergyCons!E$3:E$1000)</f>
        <v>0.98962507807415678</v>
      </c>
      <c r="H1176" s="1" cm="1">
        <f t="array" ref="H1176">SUMPRODUCT(("T-Plg-GSL-mix_S3"=[1]OUT_TransportEnergyCons!$A$3:$A$1000)*1,("Var_Fin"=[1]OUT_TransportEnergyCons!$B$3:$B$1000)*1,ISNUMBER(SEARCH("GSL",[1]OUT_TransportEnergyCons!$C$3:$C$1000))*1,[1]OUT_TransportEnergyCons!F$3:F$1000)</f>
        <v>1.7479338130607751</v>
      </c>
      <c r="I1176" s="1" cm="1">
        <f t="array" ref="I1176">SUMPRODUCT(("T-Plg-GSL-mix_S3"=[1]OUT_TransportEnergyCons!$A$3:$A$1000)*1,("Var_Fin"=[1]OUT_TransportEnergyCons!$B$3:$B$1000)*1,ISNUMBER(SEARCH("GSL",[1]OUT_TransportEnergyCons!$C$3:$C$1000))*1,[1]OUT_TransportEnergyCons!G$3:G$1000)</f>
        <v>6.784461942280573</v>
      </c>
      <c r="J1176" s="1" cm="1">
        <f t="array" ref="J1176">SUMPRODUCT(("T-Plg-GSL-mix_S3"=[1]OUT_TransportEnergyCons!$A$3:$A$1000)*1,("Var_Fin"=[1]OUT_TransportEnergyCons!$B$3:$B$1000)*1,ISNUMBER(SEARCH("GSL",[1]OUT_TransportEnergyCons!$C$3:$C$1000))*1,[1]OUT_TransportEnergyCons!H$3:H$1000)</f>
        <v>6.5717995930805397</v>
      </c>
      <c r="K1176" s="1" cm="1">
        <f t="array" ref="K1176">SUMPRODUCT(("T-Plg-GSL-mix_S3"=[1]OUT_TransportEnergyCons!$A$3:$A$1000)*1,("Var_Fin"=[1]OUT_TransportEnergyCons!$B$3:$B$1000)*1,ISNUMBER(SEARCH("GSL",[1]OUT_TransportEnergyCons!$C$3:$C$1000))*1,[1]OUT_TransportEnergyCons!I$3:I$1000)</f>
        <v>0.58811780221134513</v>
      </c>
    </row>
    <row r="1177" spans="2:18" x14ac:dyDescent="0.35">
      <c r="B1177" s="5" t="str">
        <f t="shared" si="745"/>
        <v>SPS2</v>
      </c>
      <c r="C1177" s="5" t="str">
        <f t="shared" si="744"/>
        <v>CH</v>
      </c>
      <c r="D1177" t="s">
        <v>1280</v>
      </c>
      <c r="E1177" t="s">
        <v>8</v>
      </c>
      <c r="F1177" s="1" cm="1">
        <f t="array" ref="F1177">SUMPRODUCT(("T-Plg-GSL-mix_S4"=[1]OUT_TransportEnergyCons!$A$3:$A$1000)*1,("Var_Fin"=[1]OUT_TransportEnergyCons!$B$3:$B$1000)*1,ISNUMBER(SEARCH("GSL",[1]OUT_TransportEnergyCons!$C$3:$C$1000))*1,[1]OUT_TransportEnergyCons!D$3:D$1000)</f>
        <v>0.1268436093309708</v>
      </c>
      <c r="G1177" s="1" cm="1">
        <f t="array" ref="G1177">SUMPRODUCT(("T-Plg-GSL-mix_S4"=[1]OUT_TransportEnergyCons!$A$3:$A$1000)*1,("Var_Fin"=[1]OUT_TransportEnergyCons!$B$3:$B$1000)*1,ISNUMBER(SEARCH("GSL",[1]OUT_TransportEnergyCons!$C$3:$C$1000))*1,[1]OUT_TransportEnergyCons!E$3:E$1000)</f>
        <v>0.2705422933077351</v>
      </c>
      <c r="H1177" s="1" cm="1">
        <f t="array" ref="H1177">SUMPRODUCT(("T-Plg-GSL-mix_S4"=[1]OUT_TransportEnergyCons!$A$3:$A$1000)*1,("Var_Fin"=[1]OUT_TransportEnergyCons!$B$3:$B$1000)*1,ISNUMBER(SEARCH("GSL",[1]OUT_TransportEnergyCons!$C$3:$C$1000))*1,[1]OUT_TransportEnergyCons!F$3:F$1000)</f>
        <v>0.30307475628987868</v>
      </c>
      <c r="I1177" s="1" cm="1">
        <f t="array" ref="I1177">SUMPRODUCT(("T-Plg-GSL-mix_S4"=[1]OUT_TransportEnergyCons!$A$3:$A$1000)*1,("Var_Fin"=[1]OUT_TransportEnergyCons!$B$3:$B$1000)*1,ISNUMBER(SEARCH("GSL",[1]OUT_TransportEnergyCons!$C$3:$C$1000))*1,[1]OUT_TransportEnergyCons!G$3:G$1000)</f>
        <v>0.19886563103718924</v>
      </c>
      <c r="J1177" s="1" cm="1">
        <f t="array" ref="J1177">SUMPRODUCT(("T-Plg-GSL-mix_S4"=[1]OUT_TransportEnergyCons!$A$3:$A$1000)*1,("Var_Fin"=[1]OUT_TransportEnergyCons!$B$3:$B$1000)*1,ISNUMBER(SEARCH("GSL",[1]OUT_TransportEnergyCons!$C$3:$C$1000))*1,[1]OUT_TransportEnergyCons!H$3:H$1000)</f>
        <v>2.1556674150020102E-2</v>
      </c>
      <c r="K1177" s="1" cm="1">
        <f t="array" ref="K1177">SUMPRODUCT(("T-Plg-GSL-mix_S4"=[1]OUT_TransportEnergyCons!$A$3:$A$1000)*1,("Var_Fin"=[1]OUT_TransportEnergyCons!$B$3:$B$1000)*1,ISNUMBER(SEARCH("GSL",[1]OUT_TransportEnergyCons!$C$3:$C$1000))*1,[1]OUT_TransportEnergyCons!I$3:I$1000)</f>
        <v>3.4222063009036892E-3</v>
      </c>
    </row>
    <row r="1178" spans="2:18" x14ac:dyDescent="0.35">
      <c r="B1178" s="5" t="str">
        <f t="shared" si="745"/>
        <v>SPS2</v>
      </c>
      <c r="C1178" s="5" t="str">
        <f t="shared" si="744"/>
        <v>CH</v>
      </c>
      <c r="D1178" t="s">
        <v>1281</v>
      </c>
      <c r="E1178" t="s">
        <v>8</v>
      </c>
      <c r="F1178" s="1">
        <f>SUM(F1183:F1200)</f>
        <v>63.63746601307156</v>
      </c>
      <c r="G1178" s="1">
        <f t="shared" ref="G1178:K1178" si="755">SUM(G1183:G1200)</f>
        <v>58.403037023521868</v>
      </c>
      <c r="H1178" s="1">
        <f t="shared" si="755"/>
        <v>46.278592206076603</v>
      </c>
      <c r="I1178" s="1">
        <f t="shared" si="755"/>
        <v>27.310702247054294</v>
      </c>
      <c r="J1178" s="1">
        <f t="shared" si="755"/>
        <v>4.394370255982313</v>
      </c>
      <c r="K1178" s="1">
        <f t="shared" si="755"/>
        <v>0.41175275942952427</v>
      </c>
    </row>
    <row r="1179" spans="2:18" x14ac:dyDescent="0.35">
      <c r="B1179" s="5" t="str">
        <f t="shared" si="745"/>
        <v>SPS2</v>
      </c>
      <c r="C1179" s="5" t="str">
        <f>C1178</f>
        <v>CH</v>
      </c>
      <c r="D1179" t="s">
        <v>1282</v>
      </c>
      <c r="E1179" t="str">
        <f>E1178</f>
        <v>PJ/yr.</v>
      </c>
      <c r="F1179" s="1">
        <f>F1178-F1180</f>
        <v>62.098241855352747</v>
      </c>
      <c r="G1179" s="1">
        <f t="shared" ref="G1179:K1179" si="756">G1178-G1180</f>
        <v>56.880903757739397</v>
      </c>
      <c r="H1179" s="1">
        <f t="shared" si="756"/>
        <v>44.203882573954267</v>
      </c>
      <c r="I1179" s="1">
        <f t="shared" si="756"/>
        <v>25.900009911394683</v>
      </c>
      <c r="J1179" s="1">
        <f t="shared" si="756"/>
        <v>0.41916904446192538</v>
      </c>
      <c r="K1179" s="1">
        <f t="shared" si="756"/>
        <v>-0.94341080330754457</v>
      </c>
    </row>
    <row r="1180" spans="2:18" x14ac:dyDescent="0.35">
      <c r="B1180" s="5" t="str">
        <f t="shared" si="745"/>
        <v>SPS2</v>
      </c>
      <c r="C1180" s="5" t="str">
        <f t="shared" ref="C1180:C1182" si="757">C1179</f>
        <v>CH</v>
      </c>
      <c r="D1180" t="s">
        <v>1283</v>
      </c>
      <c r="E1180" t="str">
        <f t="shared" ref="E1180:E1182" si="758">E1179</f>
        <v>PJ/yr.</v>
      </c>
      <c r="F1180" s="1">
        <f>SUM(F1181:F1182)</f>
        <v>1.5392241577188153</v>
      </c>
      <c r="G1180" s="1">
        <f t="shared" ref="G1180" si="759">SUM(G1181:G1182)</f>
        <v>1.5221332657824731</v>
      </c>
      <c r="H1180" s="1">
        <f t="shared" ref="H1180" si="760">SUM(H1181:H1182)</f>
        <v>2.0747096321223371</v>
      </c>
      <c r="I1180" s="1">
        <f t="shared" ref="I1180" si="761">SUM(I1181:I1182)</f>
        <v>1.4106923356596097</v>
      </c>
      <c r="J1180" s="1">
        <f t="shared" ref="J1180" si="762">SUM(J1181:J1182)</f>
        <v>3.9752012115203876</v>
      </c>
      <c r="K1180" s="1">
        <f t="shared" ref="K1180" si="763">SUM(K1181:K1182)</f>
        <v>1.3551635627370688</v>
      </c>
    </row>
    <row r="1181" spans="2:18" x14ac:dyDescent="0.35">
      <c r="B1181" s="5" t="str">
        <f t="shared" si="745"/>
        <v>SPS2</v>
      </c>
      <c r="C1181" s="5" t="str">
        <f t="shared" si="757"/>
        <v>CH</v>
      </c>
      <c r="D1181" t="s">
        <v>1284</v>
      </c>
      <c r="E1181" t="str">
        <f t="shared" si="758"/>
        <v>PJ/yr.</v>
      </c>
      <c r="F1181" s="1">
        <f>[1]Transport!B$26/SUM([1]Transport!B$22,[1]Transport!B$26)*F1178*(F$33+F$580)/(F$33+F$580+F$36)</f>
        <v>1.5392241577188153</v>
      </c>
      <c r="G1181" s="1">
        <f>[1]Transport!C$26/SUM([1]Transport!C$22,[1]Transport!C$26)*G1178*(G$33+G$580)/(G$33+G$580+G$36)</f>
        <v>1.5221332657824731</v>
      </c>
      <c r="H1181" s="1">
        <f>[1]Transport!D$26/SUM([1]Transport!D$22,[1]Transport!D$26)*H1178*(H$33+H$580)/(H$33+H$580+H$36)</f>
        <v>2.0747096321223371</v>
      </c>
      <c r="I1181" s="1">
        <f>[1]Transport!E$26/SUM([1]Transport!E$22,[1]Transport!E$26)*I1178*(I$33+I$580)/(I$33+I$580+I$36)</f>
        <v>1.4106923356596097</v>
      </c>
      <c r="J1181" s="1">
        <f>[1]Transport!F$26/SUM([1]Transport!F$22,[1]Transport!F$26)*J1178*(J$33+J$580)/(J$33+J$580+J$36)</f>
        <v>0.19757575228480059</v>
      </c>
      <c r="K1181" s="1">
        <f>[1]Transport!G$26/SUM([1]Transport!G$22,[1]Transport!G$26)*K1178*(K$33+K$580)/(K$33+K$580+K$36)</f>
        <v>8.5892508310700985E-2</v>
      </c>
    </row>
    <row r="1182" spans="2:18" x14ac:dyDescent="0.35">
      <c r="B1182" s="5" t="str">
        <f t="shared" si="745"/>
        <v>SPS2</v>
      </c>
      <c r="C1182" s="5" t="str">
        <f t="shared" si="757"/>
        <v>CH</v>
      </c>
      <c r="D1182" t="s">
        <v>1285</v>
      </c>
      <c r="E1182" t="str">
        <f t="shared" si="758"/>
        <v>PJ/yr.</v>
      </c>
      <c r="F1182" s="1">
        <f>(F$36+F$716)/([1]Transport!B$22+[1]Transport!B$26)*F1178</f>
        <v>0</v>
      </c>
      <c r="G1182" s="1">
        <f>(G$36+G$716)/([1]Transport!C$22+[1]Transport!C$26)*G1178</f>
        <v>0</v>
      </c>
      <c r="H1182" s="1">
        <f>(H$36+H$716)/([1]Transport!D$22+[1]Transport!D$26)*H1178</f>
        <v>0</v>
      </c>
      <c r="I1182" s="1">
        <f>(I$36+I$716)/([1]Transport!E$22+[1]Transport!E$26)*I1178</f>
        <v>0</v>
      </c>
      <c r="J1182" s="1">
        <f>(J$36+J$716)/([1]Transport!F$22+[1]Transport!F$26)*J1178</f>
        <v>3.7776254592355869</v>
      </c>
      <c r="K1182" s="1">
        <f>(K$36+K$716)/([1]Transport!G$22+[1]Transport!G$26)*K1178</f>
        <v>1.2692710544263679</v>
      </c>
      <c r="M1182" s="1"/>
      <c r="N1182" s="1"/>
      <c r="O1182" s="1"/>
      <c r="P1182" s="1"/>
      <c r="Q1182" s="1"/>
      <c r="R1182" s="1"/>
    </row>
    <row r="1183" spans="2:18" x14ac:dyDescent="0.35">
      <c r="B1183" s="5" t="str">
        <f t="shared" si="745"/>
        <v>SPS2</v>
      </c>
      <c r="C1183" s="5" t="str">
        <f>C1178</f>
        <v>CH</v>
      </c>
      <c r="D1183" t="s">
        <v>1286</v>
      </c>
      <c r="E1183" t="s">
        <v>8</v>
      </c>
      <c r="F1183" s="1" cm="1">
        <f t="array" ref="F1183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3" s="1" cm="1">
        <f t="array" ref="G1183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3" s="1" cm="1">
        <f t="array" ref="H1183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3" s="1" cm="1">
        <f t="array" ref="I1183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3" s="1" cm="1">
        <f t="array" ref="J1183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3" s="1" cm="1">
        <f t="array" ref="K1183">SUMPRODUCT(("T_C-HYBDSLEXT"=[1]OUT_TransportEnergyCons!$A$3:$A$1000)*1,("Var_Fin"=[1]OUT_TransportEnergyCons!$B$3:$B$1000)*1,ISNUMBER(SEARCH("DSL",[1]OUT_TransportEnergyCons!$C$3:$C$1000))*1,[1]OUT_TransportEnergyCons!I$3:I$1000)</f>
        <v>0</v>
      </c>
    </row>
    <row r="1184" spans="2:18" x14ac:dyDescent="0.35">
      <c r="B1184" s="5" t="str">
        <f t="shared" si="745"/>
        <v>SPS2</v>
      </c>
      <c r="C1184" s="5" t="str">
        <f t="shared" si="744"/>
        <v>CH</v>
      </c>
      <c r="D1184" t="s">
        <v>1287</v>
      </c>
      <c r="E1184" t="s">
        <v>8</v>
      </c>
      <c r="F1184" s="1" cm="1">
        <f t="array" ref="F1184">SUMPRODUCT(("T_C-HY-DSL-S1"=[1]OUT_TransportEnergyCons!$A$3:$A$1000)*1,("Var_Fin"=[1]OUT_TransportEnergyCons!$B$3:$B$1000)*1,ISNUMBER(SEARCH("DSL",[1]OUT_TransportEnergyCons!$C$3:$C$1000))*1,[1]OUT_TransportEnergyCons!D$3:D$1000)</f>
        <v>3.5154034219517237E-5</v>
      </c>
      <c r="G1184" s="1" cm="1">
        <f t="array" ref="G1184">SUMPRODUCT(("T_C-HY-DSL-S1"=[1]OUT_TransportEnergyCons!$A$3:$A$1000)*1,("Var_Fin"=[1]OUT_TransportEnergyCons!$B$3:$B$1000)*1,ISNUMBER(SEARCH("DSL",[1]OUT_TransportEnergyCons!$C$3:$C$1000))*1,[1]OUT_TransportEnergyCons!E$3:E$1000)</f>
        <v>0.16372352375000812</v>
      </c>
      <c r="H1184" s="1" cm="1">
        <f t="array" ref="H1184">SUMPRODUCT(("T_C-HY-DSL-S1"=[1]OUT_TransportEnergyCons!$A$3:$A$1000)*1,("Var_Fin"=[1]OUT_TransportEnergyCons!$B$3:$B$1000)*1,ISNUMBER(SEARCH("DSL",[1]OUT_TransportEnergyCons!$C$3:$C$1000))*1,[1]OUT_TransportEnergyCons!F$3:F$1000)</f>
        <v>0.10951038932261443</v>
      </c>
      <c r="I1184" s="1" cm="1">
        <f t="array" ref="I1184">SUMPRODUCT(("T_C-HY-DSL-S1"=[1]OUT_TransportEnergyCons!$A$3:$A$1000)*1,("Var_Fin"=[1]OUT_TransportEnergyCons!$B$3:$B$1000)*1,ISNUMBER(SEARCH("DSL",[1]OUT_TransportEnergyCons!$C$3:$C$1000))*1,[1]OUT_TransportEnergyCons!G$3:G$1000)</f>
        <v>8.8830676346414103E-2</v>
      </c>
      <c r="J1184" s="1" cm="1">
        <f t="array" ref="J1184">SUMPRODUCT(("T_C-HY-DSL-S1"=[1]OUT_TransportEnergyCons!$A$3:$A$1000)*1,("Var_Fin"=[1]OUT_TransportEnergyCons!$B$3:$B$1000)*1,ISNUMBER(SEARCH("DSL",[1]OUT_TransportEnergyCons!$C$3:$C$1000))*1,[1]OUT_TransportEnergyCons!H$3:H$1000)</f>
        <v>3.724713473322402E-4</v>
      </c>
      <c r="K1184" s="1" cm="1">
        <f t="array" ref="K1184">SUMPRODUCT(("T_C-HY-DSL-S1"=[1]OUT_TransportEnergyCons!$A$3:$A$1000)*1,("Var_Fin"=[1]OUT_TransportEnergyCons!$B$3:$B$1000)*1,ISNUMBER(SEARCH("DSL",[1]OUT_TransportEnergyCons!$C$3:$C$1000))*1,[1]OUT_TransportEnergyCons!I$3:I$1000)</f>
        <v>0</v>
      </c>
      <c r="R1184" s="1"/>
    </row>
    <row r="1185" spans="2:11" x14ac:dyDescent="0.35">
      <c r="B1185" s="5" t="str">
        <f t="shared" si="745"/>
        <v>SPS2</v>
      </c>
      <c r="C1185" s="5" t="str">
        <f t="shared" si="744"/>
        <v>CH</v>
      </c>
      <c r="D1185" t="s">
        <v>1288</v>
      </c>
      <c r="E1185" t="s">
        <v>8</v>
      </c>
      <c r="F1185" s="1" cm="1">
        <f t="array" ref="F1185">SUMPRODUCT(("T_C-HY-DSL-S2"=[1]OUT_TransportEnergyCons!$A$3:$A$1000)*1,("Var_Fin"=[1]OUT_TransportEnergyCons!$B$3:$B$1000)*1,ISNUMBER(SEARCH("DSL",[1]OUT_TransportEnergyCons!$C$3:$C$1000))*1,[1]OUT_TransportEnergyCons!D$3:D$1000)</f>
        <v>2.5557059486427092E-3</v>
      </c>
      <c r="G1185" s="1" cm="1">
        <f t="array" ref="G1185">SUMPRODUCT(("T_C-HY-DSL-S2"=[1]OUT_TransportEnergyCons!$A$3:$A$1000)*1,("Var_Fin"=[1]OUT_TransportEnergyCons!$B$3:$B$1000)*1,ISNUMBER(SEARCH("DSL",[1]OUT_TransportEnergyCons!$C$3:$C$1000))*1,[1]OUT_TransportEnergyCons!E$3:E$1000)</f>
        <v>0.5236197896259871</v>
      </c>
      <c r="H1185" s="1" cm="1">
        <f t="array" ref="H1185">SUMPRODUCT(("T_C-HY-DSL-S2"=[1]OUT_TransportEnergyCons!$A$3:$A$1000)*1,("Var_Fin"=[1]OUT_TransportEnergyCons!$B$3:$B$1000)*1,ISNUMBER(SEARCH("DSL",[1]OUT_TransportEnergyCons!$C$3:$C$1000))*1,[1]OUT_TransportEnergyCons!F$3:F$1000)</f>
        <v>1.283923310858085</v>
      </c>
      <c r="I1185" s="1" cm="1">
        <f t="array" ref="I1185">SUMPRODUCT(("T_C-HY-DSL-S2"=[1]OUT_TransportEnergyCons!$A$3:$A$1000)*1,("Var_Fin"=[1]OUT_TransportEnergyCons!$B$3:$B$1000)*1,ISNUMBER(SEARCH("DSL",[1]OUT_TransportEnergyCons!$C$3:$C$1000))*1,[1]OUT_TransportEnergyCons!G$3:G$1000)</f>
        <v>1.0919331363174938</v>
      </c>
      <c r="J1185" s="1" cm="1">
        <f t="array" ref="J1185">SUMPRODUCT(("T_C-HY-DSL-S2"=[1]OUT_TransportEnergyCons!$A$3:$A$1000)*1,("Var_Fin"=[1]OUT_TransportEnergyCons!$B$3:$B$1000)*1,ISNUMBER(SEARCH("DSL",[1]OUT_TransportEnergyCons!$C$3:$C$1000))*1,[1]OUT_TransportEnergyCons!H$3:H$1000)</f>
        <v>4.8717419364822212E-2</v>
      </c>
      <c r="K1185" s="1" cm="1">
        <f t="array" ref="K1185">SUMPRODUCT(("T_C-HY-DSL-S2"=[1]OUT_TransportEnergyCons!$A$3:$A$1000)*1,("Var_Fin"=[1]OUT_TransportEnergyCons!$B$3:$B$1000)*1,ISNUMBER(SEARCH("DSL",[1]OUT_TransportEnergyCons!$C$3:$C$1000))*1,[1]OUT_TransportEnergyCons!I$3:I$1000)</f>
        <v>0</v>
      </c>
    </row>
    <row r="1186" spans="2:11" x14ac:dyDescent="0.35">
      <c r="B1186" s="5" t="str">
        <f t="shared" si="745"/>
        <v>SPS2</v>
      </c>
      <c r="C1186" s="5" t="str">
        <f t="shared" si="744"/>
        <v>CH</v>
      </c>
      <c r="D1186" t="s">
        <v>1289</v>
      </c>
      <c r="E1186" t="s">
        <v>8</v>
      </c>
      <c r="F1186" s="1" cm="1">
        <f t="array" ref="F1186">SUMPRODUCT(("T_C-HY-DSL-S3"=[1]OUT_TransportEnergyCons!$A$3:$A$1000)*1,("Var_Fin"=[1]OUT_TransportEnergyCons!$B$3:$B$1000)*1,ISNUMBER(SEARCH("DSL",[1]OUT_TransportEnergyCons!$C$3:$C$1000))*1,[1]OUT_TransportEnergyCons!D$3:D$1000)</f>
        <v>2.6938513714845524E-2</v>
      </c>
      <c r="G1186" s="1" cm="1">
        <f t="array" ref="G1186">SUMPRODUCT(("T_C-HY-DSL-S3"=[1]OUT_TransportEnergyCons!$A$3:$A$1000)*1,("Var_Fin"=[1]OUT_TransportEnergyCons!$B$3:$B$1000)*1,ISNUMBER(SEARCH("DSL",[1]OUT_TransportEnergyCons!$C$3:$C$1000))*1,[1]OUT_TransportEnergyCons!E$3:E$1000)</f>
        <v>4.6824319963732063E-2</v>
      </c>
      <c r="H1186" s="1" cm="1">
        <f t="array" ref="H1186">SUMPRODUCT(("T_C-HY-DSL-S3"=[1]OUT_TransportEnergyCons!$A$3:$A$1000)*1,("Var_Fin"=[1]OUT_TransportEnergyCons!$B$3:$B$1000)*1,ISNUMBER(SEARCH("DSL",[1]OUT_TransportEnergyCons!$C$3:$C$1000))*1,[1]OUT_TransportEnergyCons!F$3:F$1000)</f>
        <v>4.5514154303699234E-2</v>
      </c>
      <c r="I1186" s="1" cm="1">
        <f t="array" ref="I1186">SUMPRODUCT(("T_C-HY-DSL-S3"=[1]OUT_TransportEnergyCons!$A$3:$A$1000)*1,("Var_Fin"=[1]OUT_TransportEnergyCons!$B$3:$B$1000)*1,ISNUMBER(SEARCH("DSL",[1]OUT_TransportEnergyCons!$C$3:$C$1000))*1,[1]OUT_TransportEnergyCons!G$3:G$1000)</f>
        <v>3.474316652831598E-2</v>
      </c>
      <c r="J1186" s="1" cm="1">
        <f t="array" ref="J1186">SUMPRODUCT(("T_C-HY-DSL-S3"=[1]OUT_TransportEnergyCons!$A$3:$A$1000)*1,("Var_Fin"=[1]OUT_TransportEnergyCons!$B$3:$B$1000)*1,ISNUMBER(SEARCH("DSL",[1]OUT_TransportEnergyCons!$C$3:$C$1000))*1,[1]OUT_TransportEnergyCons!H$3:H$1000)</f>
        <v>2.4912345688028574E-4</v>
      </c>
      <c r="K1186" s="1" cm="1">
        <f t="array" ref="K1186">SUMPRODUCT(("T_C-HY-DSL-S3"=[1]OUT_TransportEnergyCons!$A$3:$A$1000)*1,("Var_Fin"=[1]OUT_TransportEnergyCons!$B$3:$B$1000)*1,ISNUMBER(SEARCH("DSL",[1]OUT_TransportEnergyCons!$C$3:$C$1000))*1,[1]OUT_TransportEnergyCons!I$3:I$1000)</f>
        <v>0</v>
      </c>
    </row>
    <row r="1187" spans="2:11" x14ac:dyDescent="0.35">
      <c r="B1187" s="5" t="str">
        <f t="shared" si="745"/>
        <v>SPS2</v>
      </c>
      <c r="C1187" s="5" t="str">
        <f t="shared" si="744"/>
        <v>CH</v>
      </c>
      <c r="D1187" t="s">
        <v>1290</v>
      </c>
      <c r="E1187" t="s">
        <v>8</v>
      </c>
      <c r="F1187" s="1" cm="1">
        <f t="array" ref="F1187">SUMPRODUCT(("T_C-HY-DSL-S4"=[1]OUT_TransportEnergyCons!$A$3:$A$1000)*1,("Var_Fin"=[1]OUT_TransportEnergyCons!$B$3:$B$1000)*1,ISNUMBER(SEARCH("DSL",[1]OUT_TransportEnergyCons!$C$3:$C$1000))*1,[1]OUT_TransportEnergyCons!D$3:D$1000)</f>
        <v>3.5093778692536909E-2</v>
      </c>
      <c r="G1187" s="1" cm="1">
        <f t="array" ref="G1187">SUMPRODUCT(("T_C-HY-DSL-S4"=[1]OUT_TransportEnergyCons!$A$3:$A$1000)*1,("Var_Fin"=[1]OUT_TransportEnergyCons!$B$3:$B$1000)*1,ISNUMBER(SEARCH("DSL",[1]OUT_TransportEnergyCons!$C$3:$C$1000))*1,[1]OUT_TransportEnergyCons!E$3:E$1000)</f>
        <v>7.2963578615727165E-2</v>
      </c>
      <c r="H1187" s="1" cm="1">
        <f t="array" ref="H1187">SUMPRODUCT(("T_C-HY-DSL-S4"=[1]OUT_TransportEnergyCons!$A$3:$A$1000)*1,("Var_Fin"=[1]OUT_TransportEnergyCons!$B$3:$B$1000)*1,ISNUMBER(SEARCH("DSL",[1]OUT_TransportEnergyCons!$C$3:$C$1000))*1,[1]OUT_TransportEnergyCons!F$3:F$1000)</f>
        <v>6.9959671621154448E-2</v>
      </c>
      <c r="I1187" s="1" cm="1">
        <f t="array" ref="I1187">SUMPRODUCT(("T_C-HY-DSL-S4"=[1]OUT_TransportEnergyCons!$A$3:$A$1000)*1,("Var_Fin"=[1]OUT_TransportEnergyCons!$B$3:$B$1000)*1,ISNUMBER(SEARCH("DSL",[1]OUT_TransportEnergyCons!$C$3:$C$1000))*1,[1]OUT_TransportEnergyCons!G$3:G$1000)</f>
        <v>5.7941957412236733E-2</v>
      </c>
      <c r="J1187" s="1" cm="1">
        <f t="array" ref="J1187">SUMPRODUCT(("T_C-HY-DSL-S4"=[1]OUT_TransportEnergyCons!$A$3:$A$1000)*1,("Var_Fin"=[1]OUT_TransportEnergyCons!$B$3:$B$1000)*1,ISNUMBER(SEARCH("DSL",[1]OUT_TransportEnergyCons!$C$3:$C$1000))*1,[1]OUT_TransportEnergyCons!H$3:H$1000)</f>
        <v>2.5903117958915665E-4</v>
      </c>
      <c r="K1187" s="1" cm="1">
        <f t="array" ref="K1187">SUMPRODUCT(("T_C-HY-DSL-S4"=[1]OUT_TransportEnergyCons!$A$3:$A$1000)*1,("Var_Fin"=[1]OUT_TransportEnergyCons!$B$3:$B$1000)*1,ISNUMBER(SEARCH("DSL",[1]OUT_TransportEnergyCons!$C$3:$C$1000))*1,[1]OUT_TransportEnergyCons!I$3:I$1000)</f>
        <v>0</v>
      </c>
    </row>
    <row r="1188" spans="2:11" x14ac:dyDescent="0.35">
      <c r="B1188" s="5" t="str">
        <f t="shared" si="745"/>
        <v>SPS2</v>
      </c>
      <c r="C1188" s="5" t="str">
        <f t="shared" si="744"/>
        <v>CH</v>
      </c>
      <c r="D1188" t="s">
        <v>1291</v>
      </c>
      <c r="E1188" t="s">
        <v>8</v>
      </c>
      <c r="F1188" s="1" cm="1">
        <f t="array" ref="F1188">SUMPRODUCT(("T_C-ICEDSLEXT"=[1]OUT_TransportEnergyCons!$A$3:$A$1000)*1,("Var_Fin"=[1]OUT_TransportEnergyCons!$B$3:$B$1000)*1,ISNUMBER(SEARCH("DSL",[1]OUT_TransportEnergyCons!$C$3:$C$1000))*1,[1]OUT_TransportEnergyCons!D$3:D$1000)</f>
        <v>56.575542585764261</v>
      </c>
      <c r="G1188" s="1" cm="1">
        <f t="array" ref="G1188">SUMPRODUCT(("T_C-ICEDSLEXT"=[1]OUT_TransportEnergyCons!$A$3:$A$1000)*1,("Var_Fin"=[1]OUT_TransportEnergyCons!$B$3:$B$1000)*1,ISNUMBER(SEARCH("DSL",[1]OUT_TransportEnergyCons!$C$3:$C$1000))*1,[1]OUT_TransportEnergyCons!E$3:E$1000)</f>
        <v>48.700923464501322</v>
      </c>
      <c r="H1188" s="1" cm="1">
        <f t="array" ref="H1188">SUMPRODUCT(("T_C-ICEDSLEXT"=[1]OUT_TransportEnergyCons!$A$3:$A$1000)*1,("Var_Fin"=[1]OUT_TransportEnergyCons!$B$3:$B$1000)*1,ISNUMBER(SEARCH("DSL",[1]OUT_TransportEnergyCons!$C$3:$C$1000))*1,[1]OUT_TransportEnergyCons!F$3:F$1000)</f>
        <v>34.929654301542129</v>
      </c>
      <c r="I1188" s="1" cm="1">
        <f t="array" ref="I1188">SUMPRODUCT(("T_C-ICEDSLEXT"=[1]OUT_TransportEnergyCons!$A$3:$A$1000)*1,("Var_Fin"=[1]OUT_TransportEnergyCons!$B$3:$B$1000)*1,ISNUMBER(SEARCH("DSL",[1]OUT_TransportEnergyCons!$C$3:$C$1000))*1,[1]OUT_TransportEnergyCons!G$3:G$1000)</f>
        <v>14.768816018275245</v>
      </c>
      <c r="J1188" s="1" cm="1">
        <f t="array" ref="J1188">SUMPRODUCT(("T_C-ICEDSLEXT"=[1]OUT_TransportEnergyCons!$A$3:$A$1000)*1,("Var_Fin"=[1]OUT_TransportEnergyCons!$B$3:$B$1000)*1,ISNUMBER(SEARCH("DSL",[1]OUT_TransportEnergyCons!$C$3:$C$1000))*1,[1]OUT_TransportEnergyCons!H$3:H$1000)</f>
        <v>0</v>
      </c>
      <c r="K1188" s="1" cm="1">
        <f t="array" ref="K1188">SUMPRODUCT(("T_C-ICEDSLEXT"=[1]OUT_TransportEnergyCons!$A$3:$A$1000)*1,("Var_Fin"=[1]OUT_TransportEnergyCons!$B$3:$B$1000)*1,ISNUMBER(SEARCH("DSL",[1]OUT_TransportEnergyCons!$C$3:$C$1000))*1,[1]OUT_TransportEnergyCons!I$3:I$1000)</f>
        <v>0</v>
      </c>
    </row>
    <row r="1189" spans="2:11" x14ac:dyDescent="0.35">
      <c r="B1189" s="5" t="str">
        <f t="shared" si="745"/>
        <v>SPS2</v>
      </c>
      <c r="C1189" s="5" t="str">
        <f t="shared" si="744"/>
        <v>CH</v>
      </c>
      <c r="D1189" t="s">
        <v>1292</v>
      </c>
      <c r="E1189" t="s">
        <v>8</v>
      </c>
      <c r="F1189" s="1" cm="1">
        <f t="array" ref="F1189">SUMPRODUCT(("T_C-ICE-DSL-S1"=[1]OUT_TransportEnergyCons!$A$3:$A$1000)*1,("Var_Fin"=[1]OUT_TransportEnergyCons!$B$3:$B$1000)*1,ISNUMBER(SEARCH("DSL",[1]OUT_TransportEnergyCons!$C$3:$C$1000))*1,[1]OUT_TransportEnergyCons!D$3:D$1000)</f>
        <v>5.1386873909870234E-3</v>
      </c>
      <c r="G1189" s="1" cm="1">
        <f t="array" ref="G1189">SUMPRODUCT(("T_C-ICE-DSL-S1"=[1]OUT_TransportEnergyCons!$A$3:$A$1000)*1,("Var_Fin"=[1]OUT_TransportEnergyCons!$B$3:$B$1000)*1,ISNUMBER(SEARCH("DSL",[1]OUT_TransportEnergyCons!$C$3:$C$1000))*1,[1]OUT_TransportEnergyCons!E$3:E$1000)</f>
        <v>8.1813228062446383E-3</v>
      </c>
      <c r="H1189" s="1" cm="1">
        <f t="array" ref="H1189">SUMPRODUCT(("T_C-ICE-DSL-S1"=[1]OUT_TransportEnergyCons!$A$3:$A$1000)*1,("Var_Fin"=[1]OUT_TransportEnergyCons!$B$3:$B$1000)*1,ISNUMBER(SEARCH("DSL",[1]OUT_TransportEnergyCons!$C$3:$C$1000))*1,[1]OUT_TransportEnergyCons!F$3:F$1000)</f>
        <v>7.3095998112376551E-3</v>
      </c>
      <c r="I1189" s="1" cm="1">
        <f t="array" ref="I1189">SUMPRODUCT(("T_C-ICE-DSL-S1"=[1]OUT_TransportEnergyCons!$A$3:$A$1000)*1,("Var_Fin"=[1]OUT_TransportEnergyCons!$B$3:$B$1000)*1,ISNUMBER(SEARCH("DSL",[1]OUT_TransportEnergyCons!$C$3:$C$1000))*1,[1]OUT_TransportEnergyCons!G$3:G$1000)</f>
        <v>6.2494011437453454E-3</v>
      </c>
      <c r="J1189" s="1" cm="1">
        <f t="array" ref="J1189">SUMPRODUCT(("T_C-ICE-DSL-S1"=[1]OUT_TransportEnergyCons!$A$3:$A$1000)*1,("Var_Fin"=[1]OUT_TransportEnergyCons!$B$3:$B$1000)*1,ISNUMBER(SEARCH("DSL",[1]OUT_TransportEnergyCons!$C$3:$C$1000))*1,[1]OUT_TransportEnergyCons!H$3:H$1000)</f>
        <v>3.7030161116277253E-4</v>
      </c>
      <c r="K1189" s="1" cm="1">
        <f t="array" ref="K1189">SUMPRODUCT(("T_C-ICE-DSL-S1"=[1]OUT_TransportEnergyCons!$A$3:$A$1000)*1,("Var_Fin"=[1]OUT_TransportEnergyCons!$B$3:$B$1000)*1,ISNUMBER(SEARCH("DSL",[1]OUT_TransportEnergyCons!$C$3:$C$1000))*1,[1]OUT_TransportEnergyCons!I$3:I$1000)</f>
        <v>0</v>
      </c>
    </row>
    <row r="1190" spans="2:11" x14ac:dyDescent="0.35">
      <c r="B1190" s="5" t="str">
        <f t="shared" si="745"/>
        <v>SPS2</v>
      </c>
      <c r="C1190" s="5" t="str">
        <f t="shared" si="744"/>
        <v>CH</v>
      </c>
      <c r="D1190" t="s">
        <v>1293</v>
      </c>
      <c r="E1190" t="s">
        <v>8</v>
      </c>
      <c r="F1190" s="1" cm="1">
        <f t="array" ref="F1190">SUMPRODUCT(("T_C-ICE-DSL-S2"=[1]OUT_TransportEnergyCons!$A$3:$A$1000)*1,("Var_Fin"=[1]OUT_TransportEnergyCons!$B$3:$B$1000)*1,ISNUMBER(SEARCH("DSL",[1]OUT_TransportEnergyCons!$C$3:$C$1000))*1,[1]OUT_TransportEnergyCons!D$3:D$1000)</f>
        <v>0.96092516624425217</v>
      </c>
      <c r="G1190" s="1" cm="1">
        <f t="array" ref="G1190">SUMPRODUCT(("T_C-ICE-DSL-S2"=[1]OUT_TransportEnergyCons!$A$3:$A$1000)*1,("Var_Fin"=[1]OUT_TransportEnergyCons!$B$3:$B$1000)*1,ISNUMBER(SEARCH("DSL",[1]OUT_TransportEnergyCons!$C$3:$C$1000))*1,[1]OUT_TransportEnergyCons!E$3:E$1000)</f>
        <v>1.2840493728057532</v>
      </c>
      <c r="H1190" s="1" cm="1">
        <f t="array" ref="H1190">SUMPRODUCT(("T_C-ICE-DSL-S2"=[1]OUT_TransportEnergyCons!$A$3:$A$1000)*1,("Var_Fin"=[1]OUT_TransportEnergyCons!$B$3:$B$1000)*1,ISNUMBER(SEARCH("DSL",[1]OUT_TransportEnergyCons!$C$3:$C$1000))*1,[1]OUT_TransportEnergyCons!F$3:F$1000)</f>
        <v>0.92417935372075544</v>
      </c>
      <c r="I1190" s="1" cm="1">
        <f t="array" ref="I1190">SUMPRODUCT(("T_C-ICE-DSL-S2"=[1]OUT_TransportEnergyCons!$A$3:$A$1000)*1,("Var_Fin"=[1]OUT_TransportEnergyCons!$B$3:$B$1000)*1,ISNUMBER(SEARCH("DSL",[1]OUT_TransportEnergyCons!$C$3:$C$1000))*1,[1]OUT_TransportEnergyCons!G$3:G$1000)</f>
        <v>0.83287689813915888</v>
      </c>
      <c r="J1190" s="1" cm="1">
        <f t="array" ref="J1190">SUMPRODUCT(("T_C-ICE-DSL-S2"=[1]OUT_TransportEnergyCons!$A$3:$A$1000)*1,("Var_Fin"=[1]OUT_TransportEnergyCons!$B$3:$B$1000)*1,ISNUMBER(SEARCH("DSL",[1]OUT_TransportEnergyCons!$C$3:$C$1000))*1,[1]OUT_TransportEnergyCons!H$3:H$1000)</f>
        <v>3.4971650599470016E-4</v>
      </c>
      <c r="K1190" s="1" cm="1">
        <f t="array" ref="K1190">SUMPRODUCT(("T_C-ICE-DSL-S2"=[1]OUT_TransportEnergyCons!$A$3:$A$1000)*1,("Var_Fin"=[1]OUT_TransportEnergyCons!$B$3:$B$1000)*1,ISNUMBER(SEARCH("DSL",[1]OUT_TransportEnergyCons!$C$3:$C$1000))*1,[1]OUT_TransportEnergyCons!I$3:I$1000)</f>
        <v>0</v>
      </c>
    </row>
    <row r="1191" spans="2:11" x14ac:dyDescent="0.35">
      <c r="B1191" s="5" t="str">
        <f t="shared" si="745"/>
        <v>SPS2</v>
      </c>
      <c r="C1191" s="5" t="str">
        <f t="shared" si="744"/>
        <v>CH</v>
      </c>
      <c r="D1191" t="s">
        <v>1294</v>
      </c>
      <c r="E1191" t="s">
        <v>8</v>
      </c>
      <c r="F1191" s="1" cm="1">
        <f t="array" ref="F1191">SUMPRODUCT(("T_C-ICE-DSL-S3"=[1]OUT_TransportEnergyCons!$A$3:$A$1000)*1,("Var_Fin"=[1]OUT_TransportEnergyCons!$B$3:$B$1000)*1,ISNUMBER(SEARCH("DSL",[1]OUT_TransportEnergyCons!$C$3:$C$1000))*1,[1]OUT_TransportEnergyCons!D$3:D$1000)</f>
        <v>4.0882471058577741</v>
      </c>
      <c r="G1191" s="1" cm="1">
        <f t="array" ref="G1191">SUMPRODUCT(("T_C-ICE-DSL-S3"=[1]OUT_TransportEnergyCons!$A$3:$A$1000)*1,("Var_Fin"=[1]OUT_TransportEnergyCons!$B$3:$B$1000)*1,ISNUMBER(SEARCH("DSL",[1]OUT_TransportEnergyCons!$C$3:$C$1000))*1,[1]OUT_TransportEnergyCons!E$3:E$1000)</f>
        <v>5.3274505581276603</v>
      </c>
      <c r="H1191" s="1" cm="1">
        <f t="array" ref="H1191">SUMPRODUCT(("T_C-ICE-DSL-S3"=[1]OUT_TransportEnergyCons!$A$3:$A$1000)*1,("Var_Fin"=[1]OUT_TransportEnergyCons!$B$3:$B$1000)*1,ISNUMBER(SEARCH("DSL",[1]OUT_TransportEnergyCons!$C$3:$C$1000))*1,[1]OUT_TransportEnergyCons!F$3:F$1000)</f>
        <v>5.2765428458026493</v>
      </c>
      <c r="I1191" s="1" cm="1">
        <f t="array" ref="I1191">SUMPRODUCT(("T_C-ICE-DSL-S3"=[1]OUT_TransportEnergyCons!$A$3:$A$1000)*1,("Var_Fin"=[1]OUT_TransportEnergyCons!$B$3:$B$1000)*1,ISNUMBER(SEARCH("DSL",[1]OUT_TransportEnergyCons!$C$3:$C$1000))*1,[1]OUT_TransportEnergyCons!G$3:G$1000)</f>
        <v>4.0303900196764122</v>
      </c>
      <c r="J1191" s="1" cm="1">
        <f t="array" ref="J1191">SUMPRODUCT(("T_C-ICE-DSL-S3"=[1]OUT_TransportEnergyCons!$A$3:$A$1000)*1,("Var_Fin"=[1]OUT_TransportEnergyCons!$B$3:$B$1000)*1,ISNUMBER(SEARCH("DSL",[1]OUT_TransportEnergyCons!$C$3:$C$1000))*1,[1]OUT_TransportEnergyCons!H$3:H$1000)</f>
        <v>3.2791152267811906E-4</v>
      </c>
      <c r="K1191" s="1" cm="1">
        <f t="array" ref="K1191">SUMPRODUCT(("T_C-ICE-DSL-S3"=[1]OUT_TransportEnergyCons!$A$3:$A$1000)*1,("Var_Fin"=[1]OUT_TransportEnergyCons!$B$3:$B$1000)*1,ISNUMBER(SEARCH("DSL",[1]OUT_TransportEnergyCons!$C$3:$C$1000))*1,[1]OUT_TransportEnergyCons!I$3:I$1000)</f>
        <v>0</v>
      </c>
    </row>
    <row r="1192" spans="2:11" x14ac:dyDescent="0.35">
      <c r="B1192" s="5" t="str">
        <f t="shared" si="745"/>
        <v>SPS2</v>
      </c>
      <c r="C1192" s="5" t="str">
        <f t="shared" si="744"/>
        <v>CH</v>
      </c>
      <c r="D1192" t="s">
        <v>1295</v>
      </c>
      <c r="E1192" t="s">
        <v>8</v>
      </c>
      <c r="F1192" s="1" cm="1">
        <f t="array" ref="F1192">SUMPRODUCT(("T_C-ICE-DSL-S4"=[1]OUT_TransportEnergyCons!$A$3:$A$1000)*1,("Var_Fin"=[1]OUT_TransportEnergyCons!$B$3:$B$1000)*1,ISNUMBER(SEARCH("DSL",[1]OUT_TransportEnergyCons!$C$3:$C$1000))*1,[1]OUT_TransportEnergyCons!D$3:D$1000)</f>
        <v>1.9371159787599364</v>
      </c>
      <c r="G1192" s="1" cm="1">
        <f t="array" ref="G1192">SUMPRODUCT(("T_C-ICE-DSL-S4"=[1]OUT_TransportEnergyCons!$A$3:$A$1000)*1,("Var_Fin"=[1]OUT_TransportEnergyCons!$B$3:$B$1000)*1,ISNUMBER(SEARCH("DSL",[1]OUT_TransportEnergyCons!$C$3:$C$1000))*1,[1]OUT_TransportEnergyCons!E$3:E$1000)</f>
        <v>2.2105106823007192</v>
      </c>
      <c r="H1192" s="1" cm="1">
        <f t="array" ref="H1192">SUMPRODUCT(("T_C-ICE-DSL-S4"=[1]OUT_TransportEnergyCons!$A$3:$A$1000)*1,("Var_Fin"=[1]OUT_TransportEnergyCons!$B$3:$B$1000)*1,ISNUMBER(SEARCH("DSL",[1]OUT_TransportEnergyCons!$C$3:$C$1000))*1,[1]OUT_TransportEnergyCons!F$3:F$1000)</f>
        <v>2.1708468331972566</v>
      </c>
      <c r="I1192" s="1" cm="1">
        <f t="array" ref="I1192">SUMPRODUCT(("T_C-ICE-DSL-S4"=[1]OUT_TransportEnergyCons!$A$3:$A$1000)*1,("Var_Fin"=[1]OUT_TransportEnergyCons!$B$3:$B$1000)*1,ISNUMBER(SEARCH("DSL",[1]OUT_TransportEnergyCons!$C$3:$C$1000))*1,[1]OUT_TransportEnergyCons!G$3:G$1000)</f>
        <v>1.5106453752852953</v>
      </c>
      <c r="J1192" s="1" cm="1">
        <f t="array" ref="J1192">SUMPRODUCT(("T_C-ICE-DSL-S4"=[1]OUT_TransportEnergyCons!$A$3:$A$1000)*1,("Var_Fin"=[1]OUT_TransportEnergyCons!$B$3:$B$1000)*1,ISNUMBER(SEARCH("DSL",[1]OUT_TransportEnergyCons!$C$3:$C$1000))*1,[1]OUT_TransportEnergyCons!H$3:H$1000)</f>
        <v>2.4912139441440282E-4</v>
      </c>
      <c r="K1192" s="1" cm="1">
        <f t="array" ref="K1192">SUMPRODUCT(("T_C-ICE-DSL-S4"=[1]OUT_TransportEnergyCons!$A$3:$A$1000)*1,("Var_Fin"=[1]OUT_TransportEnergyCons!$B$3:$B$1000)*1,ISNUMBER(SEARCH("DSL",[1]OUT_TransportEnergyCons!$C$3:$C$1000))*1,[1]OUT_TransportEnergyCons!I$3:I$1000)</f>
        <v>0</v>
      </c>
    </row>
    <row r="1193" spans="2:11" x14ac:dyDescent="0.35">
      <c r="B1193" s="5" t="str">
        <f t="shared" si="745"/>
        <v>SPS2</v>
      </c>
      <c r="C1193" s="5" t="str">
        <f t="shared" si="744"/>
        <v>CH</v>
      </c>
      <c r="D1193" t="s">
        <v>1296</v>
      </c>
      <c r="E1193" t="s">
        <v>8</v>
      </c>
      <c r="F1193" s="1" cm="1">
        <f t="array" ref="F1193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3" s="1" cm="1">
        <f t="array" ref="G1193">SUMPRODUCT(("T_C-MHY-DSL-S1"=[1]OUT_TransportEnergyCons!$A$3:$A$1000)*1,("Var_Fin"=[1]OUT_TransportEnergyCons!$B$3:$B$1000)*1,ISNUMBER(SEARCH("DSL",[1]OUT_TransportEnergyCons!$C$3:$C$1000))*1,[1]OUT_TransportEnergyCons!E$3:E$1000)</f>
        <v>8.6078059268959489E-4</v>
      </c>
      <c r="H1193" s="1" cm="1">
        <f t="array" ref="H1193">SUMPRODUCT(("T_C-MHY-DSL-S1"=[1]OUT_TransportEnergyCons!$A$3:$A$1000)*1,("Var_Fin"=[1]OUT_TransportEnergyCons!$B$3:$B$1000)*1,ISNUMBER(SEARCH("DSL",[1]OUT_TransportEnergyCons!$C$3:$C$1000))*1,[1]OUT_TransportEnergyCons!F$3:F$1000)</f>
        <v>1.5195077544893079E-3</v>
      </c>
      <c r="I1193" s="1" cm="1">
        <f t="array" ref="I1193">SUMPRODUCT(("T_C-MHY-DSL-S1"=[1]OUT_TransportEnergyCons!$A$3:$A$1000)*1,("Var_Fin"=[1]OUT_TransportEnergyCons!$B$3:$B$1000)*1,ISNUMBER(SEARCH("DSL",[1]OUT_TransportEnergyCons!$C$3:$C$1000))*1,[1]OUT_TransportEnergyCons!G$3:G$1000)</f>
        <v>1.9938214757452442E-3</v>
      </c>
      <c r="J1193" s="1" cm="1">
        <f t="array" ref="J1193">SUMPRODUCT(("T_C-MHY-DSL-S1"=[1]OUT_TransportEnergyCons!$A$3:$A$1000)*1,("Var_Fin"=[1]OUT_TransportEnergyCons!$B$3:$B$1000)*1,ISNUMBER(SEARCH("DSL",[1]OUT_TransportEnergyCons!$C$3:$C$1000))*1,[1]OUT_TransportEnergyCons!H$3:H$1000)</f>
        <v>3.3954408236023501E-4</v>
      </c>
      <c r="K1193" s="1" cm="1">
        <f t="array" ref="K1193">SUMPRODUCT(("T_C-MHY-DSL-S1"=[1]OUT_TransportEnergyCons!$A$3:$A$1000)*1,("Var_Fin"=[1]OUT_TransportEnergyCons!$B$3:$B$1000)*1,ISNUMBER(SEARCH("DSL",[1]OUT_TransportEnergyCons!$C$3:$C$1000))*1,[1]OUT_TransportEnergyCons!I$3:I$1000)</f>
        <v>0</v>
      </c>
    </row>
    <row r="1194" spans="2:11" x14ac:dyDescent="0.35">
      <c r="B1194" s="5" t="str">
        <f t="shared" si="745"/>
        <v>SPS2</v>
      </c>
      <c r="C1194" s="5" t="str">
        <f t="shared" si="744"/>
        <v>CH</v>
      </c>
      <c r="D1194" t="s">
        <v>1297</v>
      </c>
      <c r="E1194" t="s">
        <v>8</v>
      </c>
      <c r="F1194" s="1" cm="1">
        <f t="array" ref="F1194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4" s="1" cm="1">
        <f t="array" ref="G1194">SUMPRODUCT(("T_C-MHY-DSL-S2"=[1]OUT_TransportEnergyCons!$A$3:$A$1000)*1,("Var_Fin"=[1]OUT_TransportEnergyCons!$B$3:$B$1000)*1,ISNUMBER(SEARCH("DSL",[1]OUT_TransportEnergyCons!$C$3:$C$1000))*1,[1]OUT_TransportEnergyCons!E$3:E$1000)</f>
        <v>7.0295248027943391E-4</v>
      </c>
      <c r="H1194" s="1" cm="1">
        <f t="array" ref="H1194">SUMPRODUCT(("T_C-MHY-DSL-S2"=[1]OUT_TransportEnergyCons!$A$3:$A$1000)*1,("Var_Fin"=[1]OUT_TransportEnergyCons!$B$3:$B$1000)*1,ISNUMBER(SEARCH("DSL",[1]OUT_TransportEnergyCons!$C$3:$C$1000))*1,[1]OUT_TransportEnergyCons!F$3:F$1000)</f>
        <v>1.8336363505364471E-3</v>
      </c>
      <c r="I1194" s="1" cm="1">
        <f t="array" ref="I1194">SUMPRODUCT(("T_C-MHY-DSL-S2"=[1]OUT_TransportEnergyCons!$A$3:$A$1000)*1,("Var_Fin"=[1]OUT_TransportEnergyCons!$B$3:$B$1000)*1,ISNUMBER(SEARCH("DSL",[1]OUT_TransportEnergyCons!$C$3:$C$1000))*1,[1]OUT_TransportEnergyCons!G$3:G$1000)</f>
        <v>2.2260610874534322E-3</v>
      </c>
      <c r="J1194" s="1" cm="1">
        <f t="array" ref="J1194">SUMPRODUCT(("T_C-MHY-DSL-S2"=[1]OUT_TransportEnergyCons!$A$3:$A$1000)*1,("Var_Fin"=[1]OUT_TransportEnergyCons!$B$3:$B$1000)*1,ISNUMBER(SEARCH("DSL",[1]OUT_TransportEnergyCons!$C$3:$C$1000))*1,[1]OUT_TransportEnergyCons!H$3:H$1000)</f>
        <v>3.2723877184615019E-4</v>
      </c>
      <c r="K1194" s="1" cm="1">
        <f t="array" ref="K1194">SUMPRODUCT(("T_C-MHY-DSL-S2"=[1]OUT_TransportEnergyCons!$A$3:$A$1000)*1,("Var_Fin"=[1]OUT_TransportEnergyCons!$B$3:$B$1000)*1,ISNUMBER(SEARCH("DSL",[1]OUT_TransportEnergyCons!$C$3:$C$1000))*1,[1]OUT_TransportEnergyCons!I$3:I$1000)</f>
        <v>0</v>
      </c>
    </row>
    <row r="1195" spans="2:11" x14ac:dyDescent="0.35">
      <c r="B1195" s="5" t="str">
        <f t="shared" si="745"/>
        <v>SPS2</v>
      </c>
      <c r="C1195" s="5" t="str">
        <f t="shared" si="744"/>
        <v>CH</v>
      </c>
      <c r="D1195" t="s">
        <v>1298</v>
      </c>
      <c r="E1195" t="s">
        <v>8</v>
      </c>
      <c r="F1195" s="1" cm="1">
        <f t="array" ref="F1195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SUMPRODUCT(("T_C-MHY-DSL-S3"=[1]OUT_TransportEnergyCons!$A$3:$A$1000)*1,("Var_Fin"=[1]OUT_TransportEnergyCons!$B$3:$B$1000)*1,ISNUMBER(SEARCH("DSL",[1]OUT_TransportEnergyCons!$C$3:$C$1000))*1,[1]OUT_TransportEnergyCons!E$3:E$1000)</f>
        <v>8.8159874003501584E-4</v>
      </c>
      <c r="H1195" s="1" cm="1">
        <f t="array" ref="H1195">SUMPRODUCT(("T_C-MHY-DSL-S3"=[1]OUT_TransportEnergyCons!$A$3:$A$1000)*1,("Var_Fin"=[1]OUT_TransportEnergyCons!$B$3:$B$1000)*1,ISNUMBER(SEARCH("DSL",[1]OUT_TransportEnergyCons!$C$3:$C$1000))*1,[1]OUT_TransportEnergyCons!F$3:F$1000)</f>
        <v>2.0642701473211058E-3</v>
      </c>
      <c r="I1195" s="1" cm="1">
        <f t="array" ref="I1195">SUMPRODUCT(("T_C-MHY-DSL-S3"=[1]OUT_TransportEnergyCons!$A$3:$A$1000)*1,("Var_Fin"=[1]OUT_TransportEnergyCons!$B$3:$B$1000)*1,ISNUMBER(SEARCH("DSL",[1]OUT_TransportEnergyCons!$C$3:$C$1000))*1,[1]OUT_TransportEnergyCons!G$3:G$1000)</f>
        <v>2.3494892911818314E-3</v>
      </c>
      <c r="J1195" s="1" cm="1">
        <f t="array" ref="J1195">SUMPRODUCT(("T_C-MHY-DSL-S3"=[1]OUT_TransportEnergyCons!$A$3:$A$1000)*1,("Var_Fin"=[1]OUT_TransportEnergyCons!$B$3:$B$1000)*1,ISNUMBER(SEARCH("DSL",[1]OUT_TransportEnergyCons!$C$3:$C$1000))*1,[1]OUT_TransportEnergyCons!H$3:H$1000)</f>
        <v>3.1851847820153127E-4</v>
      </c>
      <c r="K1195" s="1" cm="1">
        <f t="array" ref="K1195">SUMPRODUCT(("T_C-MHY-DSL-S3"=[1]OUT_TransportEnergyCons!$A$3:$A$1000)*1,("Var_Fin"=[1]OUT_TransportEnergyCons!$B$3:$B$1000)*1,ISNUMBER(SEARCH("DSL",[1]OUT_TransportEnergyCons!$C$3:$C$1000))*1,[1]OUT_TransportEnergyCons!I$3:I$1000)</f>
        <v>0</v>
      </c>
    </row>
    <row r="1196" spans="2:11" x14ac:dyDescent="0.35">
      <c r="B1196" s="5" t="str">
        <f t="shared" si="745"/>
        <v>SPS2</v>
      </c>
      <c r="C1196" s="5" t="str">
        <f t="shared" si="744"/>
        <v>CH</v>
      </c>
      <c r="D1196" t="s">
        <v>1299</v>
      </c>
      <c r="E1196" t="s">
        <v>8</v>
      </c>
      <c r="F1196" s="1" cm="1">
        <f t="array" ref="F1196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SUMPRODUCT(("T_C-MHY-DSL-S4"=[1]OUT_TransportEnergyCons!$A$3:$A$1000)*1,("Var_Fin"=[1]OUT_TransportEnergyCons!$B$3:$B$1000)*1,ISNUMBER(SEARCH("DSL",[1]OUT_TransportEnergyCons!$C$3:$C$1000))*1,[1]OUT_TransportEnergyCons!E$3:E$1000)</f>
        <v>6.8730121502926487E-4</v>
      </c>
      <c r="H1196" s="1" cm="1">
        <f t="array" ref="H1196">SUMPRODUCT(("T_C-MHY-DSL-S4"=[1]OUT_TransportEnergyCons!$A$3:$A$1000)*1,("Var_Fin"=[1]OUT_TransportEnergyCons!$B$3:$B$1000)*1,ISNUMBER(SEARCH("DSL",[1]OUT_TransportEnergyCons!$C$3:$C$1000))*1,[1]OUT_TransportEnergyCons!F$3:F$1000)</f>
        <v>1.5271423393729878E-3</v>
      </c>
      <c r="I1196" s="1" cm="1">
        <f t="array" ref="I1196">SUMPRODUCT(("T_C-MHY-DSL-S4"=[1]OUT_TransportEnergyCons!$A$3:$A$1000)*1,("Var_Fin"=[1]OUT_TransportEnergyCons!$B$3:$B$1000)*1,ISNUMBER(SEARCH("DSL",[1]OUT_TransportEnergyCons!$C$3:$C$1000))*1,[1]OUT_TransportEnergyCons!G$3:G$1000)</f>
        <v>1.748131698227759E-3</v>
      </c>
      <c r="J1196" s="1" cm="1">
        <f t="array" ref="J1196">SUMPRODUCT(("T_C-MHY-DSL-S4"=[1]OUT_TransportEnergyCons!$A$3:$A$1000)*1,("Var_Fin"=[1]OUT_TransportEnergyCons!$B$3:$B$1000)*1,ISNUMBER(SEARCH("DSL",[1]OUT_TransportEnergyCons!$C$3:$C$1000))*1,[1]OUT_TransportEnergyCons!H$3:H$1000)</f>
        <v>2.4683955696282384E-4</v>
      </c>
      <c r="K1196" s="1" cm="1">
        <f t="array" ref="K1196">SUMPRODUCT(("T_C-MHY-DSL-S4"=[1]OUT_TransportEnergyCons!$A$3:$A$1000)*1,("Var_Fin"=[1]OUT_TransportEnergyCons!$B$3:$B$1000)*1,ISNUMBER(SEARCH("DSL",[1]OUT_TransportEnergyCons!$C$3:$C$1000))*1,[1]OUT_TransportEnergyCons!I$3:I$1000)</f>
        <v>0</v>
      </c>
    </row>
    <row r="1197" spans="2:11" x14ac:dyDescent="0.35">
      <c r="B1197" s="5" t="str">
        <f t="shared" si="745"/>
        <v>SPS2</v>
      </c>
      <c r="C1197" s="5" t="str">
        <f t="shared" si="744"/>
        <v>CH</v>
      </c>
      <c r="D1197" t="s">
        <v>1300</v>
      </c>
      <c r="E1197" t="s">
        <v>8</v>
      </c>
      <c r="F1197" s="1" cm="1">
        <f t="array" ref="F1197">SUMPRODUCT(("T-Plg-DSL-mix_S1"=[1]OUT_TransportEnergyCons!$A$3:$A$1000)*1,("Var_Fin"=[1]OUT_TransportEnergyCons!$B$3:$B$1000)*1,ISNUMBER(SEARCH("DSL",[1]OUT_TransportEnergyCons!$C$3:$C$1000))*1,[1]OUT_TransportEnergyCons!D$3:D$1000)</f>
        <v>1.9320540866857969E-5</v>
      </c>
      <c r="G1197" s="1" cm="1">
        <f t="array" ref="G1197">SUMPRODUCT(("T-Plg-DSL-mix_S1"=[1]OUT_TransportEnergyCons!$A$3:$A$1000)*1,("Var_Fin"=[1]OUT_TransportEnergyCons!$B$3:$B$1000)*1,ISNUMBER(SEARCH("DSL",[1]OUT_TransportEnergyCons!$C$3:$C$1000))*1,[1]OUT_TransportEnergyCons!E$3:E$1000)</f>
        <v>2.2203663295540096E-3</v>
      </c>
      <c r="H1197" s="1" cm="1">
        <f t="array" ref="H1197">SUMPRODUCT(("T-Plg-DSL-mix_S1"=[1]OUT_TransportEnergyCons!$A$3:$A$1000)*1,("Var_Fin"=[1]OUT_TransportEnergyCons!$B$3:$B$1000)*1,ISNUMBER(SEARCH("DSL",[1]OUT_TransportEnergyCons!$C$3:$C$1000))*1,[1]OUT_TransportEnergyCons!F$3:F$1000)</f>
        <v>2.7953198475097764E-3</v>
      </c>
      <c r="I1197" s="1" cm="1">
        <f t="array" ref="I1197">SUMPRODUCT(("T-Plg-DSL-mix_S1"=[1]OUT_TransportEnergyCons!$A$3:$A$1000)*1,("Var_Fin"=[1]OUT_TransportEnergyCons!$B$3:$B$1000)*1,ISNUMBER(SEARCH("DSL",[1]OUT_TransportEnergyCons!$C$3:$C$1000))*1,[1]OUT_TransportEnergyCons!G$3:G$1000)</f>
        <v>9.8139743918173091E-3</v>
      </c>
      <c r="J1197" s="1" cm="1">
        <f t="array" ref="J1197">SUMPRODUCT(("T-Plg-DSL-mix_S1"=[1]OUT_TransportEnergyCons!$A$3:$A$1000)*1,("Var_Fin"=[1]OUT_TransportEnergyCons!$B$3:$B$1000)*1,ISNUMBER(SEARCH("DSL",[1]OUT_TransportEnergyCons!$C$3:$C$1000))*1,[1]OUT_TransportEnergyCons!H$3:H$1000)</f>
        <v>5.6722488509580197E-3</v>
      </c>
      <c r="K1197" s="1" cm="1">
        <f t="array" ref="K1197">SUMPRODUCT(("T-Plg-DSL-mix_S1"=[1]OUT_TransportEnergyCons!$A$3:$A$1000)*1,("Var_Fin"=[1]OUT_TransportEnergyCons!$B$3:$B$1000)*1,ISNUMBER(SEARCH("DSL",[1]OUT_TransportEnergyCons!$C$3:$C$1000))*1,[1]OUT_TransportEnergyCons!I$3:I$1000)</f>
        <v>6.7762282423142433E-4</v>
      </c>
    </row>
    <row r="1198" spans="2:11" x14ac:dyDescent="0.35">
      <c r="B1198" s="5" t="str">
        <f t="shared" si="745"/>
        <v>SPS2</v>
      </c>
      <c r="C1198" s="5" t="str">
        <f t="shared" si="744"/>
        <v>CH</v>
      </c>
      <c r="D1198" t="s">
        <v>1301</v>
      </c>
      <c r="E1198" t="s">
        <v>8</v>
      </c>
      <c r="F1198" s="1" cm="1">
        <f t="array" ref="F1198">SUMPRODUCT(("T-Plg-DSL-mix_S2"=[1]OUT_TransportEnergyCons!$A$3:$A$1000)*1,("Var_Fin"=[1]OUT_TransportEnergyCons!$B$3:$B$1000)*1,ISNUMBER(SEARCH("DSL",[1]OUT_TransportEnergyCons!$C$3:$C$1000))*1,[1]OUT_TransportEnergyCons!D$3:D$1000)</f>
        <v>2.5991610197230054E-5</v>
      </c>
      <c r="G1198" s="1" cm="1">
        <f t="array" ref="G1198">SUMPRODUCT(("T-Plg-DSL-mix_S2"=[1]OUT_TransportEnergyCons!$A$3:$A$1000)*1,("Var_Fin"=[1]OUT_TransportEnergyCons!$B$3:$B$1000)*1,ISNUMBER(SEARCH("DSL",[1]OUT_TransportEnergyCons!$C$3:$C$1000))*1,[1]OUT_TransportEnergyCons!E$3:E$1000)</f>
        <v>2.1686454750636654E-3</v>
      </c>
      <c r="H1198" s="1" cm="1">
        <f t="array" ref="H1198">SUMPRODUCT(("T-Plg-DSL-mix_S2"=[1]OUT_TransportEnergyCons!$A$3:$A$1000)*1,("Var_Fin"=[1]OUT_TransportEnergyCons!$B$3:$B$1000)*1,ISNUMBER(SEARCH("DSL",[1]OUT_TransportEnergyCons!$C$3:$C$1000))*1,[1]OUT_TransportEnergyCons!F$3:F$1000)</f>
        <v>6.1762517685369361E-3</v>
      </c>
      <c r="I1198" s="1" cm="1">
        <f t="array" ref="I1198">SUMPRODUCT(("T-Plg-DSL-mix_S2"=[1]OUT_TransportEnergyCons!$A$3:$A$1000)*1,("Var_Fin"=[1]OUT_TransportEnergyCons!$B$3:$B$1000)*1,ISNUMBER(SEARCH("DSL",[1]OUT_TransportEnergyCons!$C$3:$C$1000))*1,[1]OUT_TransportEnergyCons!G$3:G$1000)</f>
        <v>1.5214590314416741E-2</v>
      </c>
      <c r="J1198" s="1" cm="1">
        <f t="array" ref="J1198">SUMPRODUCT(("T-Plg-DSL-mix_S2"=[1]OUT_TransportEnergyCons!$A$3:$A$1000)*1,("Var_Fin"=[1]OUT_TransportEnergyCons!$B$3:$B$1000)*1,ISNUMBER(SEARCH("DSL",[1]OUT_TransportEnergyCons!$C$3:$C$1000))*1,[1]OUT_TransportEnergyCons!H$3:H$1000)</f>
        <v>2.9688063131616312E-2</v>
      </c>
      <c r="K1198" s="1" cm="1">
        <f t="array" ref="K1198">SUMPRODUCT(("T-Plg-DSL-mix_S2"=[1]OUT_TransportEnergyCons!$A$3:$A$1000)*1,("Var_Fin"=[1]OUT_TransportEnergyCons!$B$3:$B$1000)*1,ISNUMBER(SEARCH("DSL",[1]OUT_TransportEnergyCons!$C$3:$C$1000))*1,[1]OUT_TransportEnergyCons!I$3:I$1000)</f>
        <v>5.0171277476880214E-3</v>
      </c>
    </row>
    <row r="1199" spans="2:11" x14ac:dyDescent="0.35">
      <c r="B1199" s="5" t="str">
        <f t="shared" si="745"/>
        <v>SPS2</v>
      </c>
      <c r="C1199" s="5" t="str">
        <f t="shared" si="744"/>
        <v>CH</v>
      </c>
      <c r="D1199" t="s">
        <v>1302</v>
      </c>
      <c r="E1199" t="s">
        <v>8</v>
      </c>
      <c r="F1199" s="1" cm="1">
        <f t="array" ref="F1199">SUMPRODUCT(("T-Plg-DSL-mix_S3"=[1]OUT_TransportEnergyCons!$A$3:$A$1000)*1,("Var_Fin"=[1]OUT_TransportEnergyCons!$B$3:$B$1000)*1,ISNUMBER(SEARCH("DSL",[1]OUT_TransportEnergyCons!$C$3:$C$1000))*1,[1]OUT_TransportEnergyCons!D$3:D$1000)</f>
        <v>1.3611597695142511E-4</v>
      </c>
      <c r="G1199" s="1" cm="1">
        <f t="array" ref="G1199">SUMPRODUCT(("T-Plg-DSL-mix_S3"=[1]OUT_TransportEnergyCons!$A$3:$A$1000)*1,("Var_Fin"=[1]OUT_TransportEnergyCons!$B$3:$B$1000)*1,ISNUMBER(SEARCH("DSL",[1]OUT_TransportEnergyCons!$C$3:$C$1000))*1,[1]OUT_TransportEnergyCons!E$3:E$1000)</f>
        <v>3.3472047812480893E-2</v>
      </c>
      <c r="H1199" s="1" cm="1">
        <f t="array" ref="H1199">SUMPRODUCT(("T-Plg-DSL-mix_S3"=[1]OUT_TransportEnergyCons!$A$3:$A$1000)*1,("Var_Fin"=[1]OUT_TransportEnergyCons!$B$3:$B$1000)*1,ISNUMBER(SEARCH("DSL",[1]OUT_TransportEnergyCons!$C$3:$C$1000))*1,[1]OUT_TransportEnergyCons!F$3:F$1000)</f>
        <v>1.4068026972691132</v>
      </c>
      <c r="I1199" s="1" cm="1">
        <f t="array" ref="I1199">SUMPRODUCT(("T-Plg-DSL-mix_S3"=[1]OUT_TransportEnergyCons!$A$3:$A$1000)*1,("Var_Fin"=[1]OUT_TransportEnergyCons!$B$3:$B$1000)*1,ISNUMBER(SEARCH("DSL",[1]OUT_TransportEnergyCons!$C$3:$C$1000))*1,[1]OUT_TransportEnergyCons!G$3:G$1000)</f>
        <v>4.8156649279956056</v>
      </c>
      <c r="J1199" s="1" cm="1">
        <f t="array" ref="J1199">SUMPRODUCT(("T-Plg-DSL-mix_S3"=[1]OUT_TransportEnergyCons!$A$3:$A$1000)*1,("Var_Fin"=[1]OUT_TransportEnergyCons!$B$3:$B$1000)*1,ISNUMBER(SEARCH("DSL",[1]OUT_TransportEnergyCons!$C$3:$C$1000))*1,[1]OUT_TransportEnergyCons!H$3:H$1000)</f>
        <v>4.2866765700624851</v>
      </c>
      <c r="K1199" s="1" cm="1">
        <f t="array" ref="K1199">SUMPRODUCT(("T-Plg-DSL-mix_S3"=[1]OUT_TransportEnergyCons!$A$3:$A$1000)*1,("Var_Fin"=[1]OUT_TransportEnergyCons!$B$3:$B$1000)*1,ISNUMBER(SEARCH("DSL",[1]OUT_TransportEnergyCons!$C$3:$C$1000))*1,[1]OUT_TransportEnergyCons!I$3:I$1000)</f>
        <v>0.40292031154594393</v>
      </c>
    </row>
    <row r="1200" spans="2:11" x14ac:dyDescent="0.35">
      <c r="B1200" s="5" t="str">
        <f t="shared" si="745"/>
        <v>SPS2</v>
      </c>
      <c r="C1200" s="5" t="str">
        <f t="shared" si="744"/>
        <v>CH</v>
      </c>
      <c r="D1200" t="s">
        <v>1303</v>
      </c>
      <c r="E1200" t="s">
        <v>8</v>
      </c>
      <c r="F1200" s="1" cm="1">
        <f t="array" ref="F1200">SUMPRODUCT(("T-Plg-DSL-mix_S4"=[1]OUT_TransportEnergyCons!$A$3:$A$1000)*1,("Var_Fin"=[1]OUT_TransportEnergyCons!$B$3:$B$1000)*1,ISNUMBER(SEARCH("DSL",[1]OUT_TransportEnergyCons!$C$3:$C$1000))*1,[1]OUT_TransportEnergyCons!D$3:D$1000)</f>
        <v>5.6919085360907628E-3</v>
      </c>
      <c r="G1200" s="1" cm="1">
        <f t="array" ref="G1200">SUMPRODUCT(("T-Plg-DSL-mix_S4"=[1]OUT_TransportEnergyCons!$A$3:$A$1000)*1,("Var_Fin"=[1]OUT_TransportEnergyCons!$B$3:$B$1000)*1,ISNUMBER(SEARCH("DSL",[1]OUT_TransportEnergyCons!$C$3:$C$1000))*1,[1]OUT_TransportEnergyCons!E$3:E$1000)</f>
        <v>2.3796718379572101E-2</v>
      </c>
      <c r="H1200" s="1" cm="1">
        <f t="array" ref="H1200">SUMPRODUCT(("T-Plg-DSL-mix_S4"=[1]OUT_TransportEnergyCons!$A$3:$A$1000)*1,("Var_Fin"=[1]OUT_TransportEnergyCons!$B$3:$B$1000)*1,ISNUMBER(SEARCH("DSL",[1]OUT_TransportEnergyCons!$C$3:$C$1000))*1,[1]OUT_TransportEnergyCons!F$3:F$1000)</f>
        <v>3.8432920420143644E-2</v>
      </c>
      <c r="I1200" s="1" cm="1">
        <f t="array" ref="I1200">SUMPRODUCT(("T-Plg-DSL-mix_S4"=[1]OUT_TransportEnergyCons!$A$3:$A$1000)*1,("Var_Fin"=[1]OUT_TransportEnergyCons!$B$3:$B$1000)*1,ISNUMBER(SEARCH("DSL",[1]OUT_TransportEnergyCons!$C$3:$C$1000))*1,[1]OUT_TransportEnergyCons!G$3:G$1000)</f>
        <v>3.9264601675529545E-2</v>
      </c>
      <c r="J1200" s="1" cm="1">
        <f t="array" ref="J1200">SUMPRODUCT(("T-Plg-DSL-mix_S4"=[1]OUT_TransportEnergyCons!$A$3:$A$1000)*1,("Var_Fin"=[1]OUT_TransportEnergyCons!$B$3:$B$1000)*1,ISNUMBER(SEARCH("DSL",[1]OUT_TransportEnergyCons!$C$3:$C$1000))*1,[1]OUT_TransportEnergyCons!H$3:H$1000)</f>
        <v>2.020613666500945E-2</v>
      </c>
      <c r="K1200" s="1" cm="1">
        <f t="array" ref="K1200">SUMPRODUCT(("T-Plg-DSL-mix_S4"=[1]OUT_TransportEnergyCons!$A$3:$A$1000)*1,("Var_Fin"=[1]OUT_TransportEnergyCons!$B$3:$B$1000)*1,ISNUMBER(SEARCH("DSL",[1]OUT_TransportEnergyCons!$C$3:$C$1000))*1,[1]OUT_TransportEnergyCons!I$3:I$1000)</f>
        <v>3.1376973116609111E-3</v>
      </c>
    </row>
    <row r="1201" spans="2:11" x14ac:dyDescent="0.35">
      <c r="B1201" s="5" t="str">
        <f t="shared" si="745"/>
        <v>SPS2</v>
      </c>
      <c r="C1201" s="5" t="str">
        <f t="shared" si="744"/>
        <v>CH</v>
      </c>
      <c r="D1201" t="s">
        <v>1304</v>
      </c>
      <c r="E1201" t="s">
        <v>8</v>
      </c>
      <c r="F1201" s="1">
        <f>SUM(F1206:F1210)</f>
        <v>0.10834889630400145</v>
      </c>
      <c r="G1201" s="1">
        <f t="shared" ref="G1201:K1201" si="764">SUM(G1206:G1210)</f>
        <v>0.11133302646644616</v>
      </c>
      <c r="H1201" s="1">
        <f t="shared" si="764"/>
        <v>0.10888994941298716</v>
      </c>
      <c r="I1201" s="1">
        <f t="shared" si="764"/>
        <v>5.4542052238034872E-3</v>
      </c>
      <c r="J1201" s="1">
        <f t="shared" si="764"/>
        <v>3.2955575640389952E-4</v>
      </c>
      <c r="K1201" s="1">
        <f t="shared" si="764"/>
        <v>0</v>
      </c>
    </row>
    <row r="1202" spans="2:11" x14ac:dyDescent="0.35">
      <c r="B1202" s="5" t="str">
        <f t="shared" si="745"/>
        <v>SPS2</v>
      </c>
      <c r="C1202" s="5" t="str">
        <f t="shared" si="744"/>
        <v>CH</v>
      </c>
      <c r="D1202" t="s">
        <v>1336</v>
      </c>
      <c r="E1202" t="s">
        <v>8</v>
      </c>
      <c r="F1202" s="1">
        <f>F1201-F1203</f>
        <v>0.10009064035862099</v>
      </c>
      <c r="G1202" s="1">
        <f t="shared" ref="G1202:K1202" si="765">G1201-G1203</f>
        <v>0.10061256943475154</v>
      </c>
      <c r="H1202" s="1">
        <f t="shared" si="765"/>
        <v>9.8628534541505594E-2</v>
      </c>
      <c r="I1202" s="1">
        <f t="shared" si="765"/>
        <v>4.5495155903933727E-3</v>
      </c>
      <c r="J1202" s="1">
        <f t="shared" si="765"/>
        <v>-0.38655872251461915</v>
      </c>
      <c r="K1202" s="1">
        <f t="shared" si="765"/>
        <v>0</v>
      </c>
    </row>
    <row r="1203" spans="2:11" x14ac:dyDescent="0.35">
      <c r="B1203" s="5" t="str">
        <f t="shared" si="745"/>
        <v>SPS2</v>
      </c>
      <c r="C1203" s="5" t="str">
        <f t="shared" si="744"/>
        <v>CH</v>
      </c>
      <c r="D1203" t="s">
        <v>1337</v>
      </c>
      <c r="E1203" t="s">
        <v>8</v>
      </c>
      <c r="F1203" s="1">
        <f>SUM(F1204:F1205)</f>
        <v>8.2582559453804657E-3</v>
      </c>
      <c r="G1203" s="1">
        <f t="shared" ref="G1203" si="766">SUM(G1204:G1205)</f>
        <v>1.0720457031694625E-2</v>
      </c>
      <c r="H1203" s="1">
        <f t="shared" ref="H1203" si="767">SUM(H1204:H1205)</f>
        <v>1.0261414871481569E-2</v>
      </c>
      <c r="I1203" s="1">
        <f t="shared" ref="I1203" si="768">SUM(I1204:I1205)</f>
        <v>9.0468963341011426E-4</v>
      </c>
      <c r="J1203" s="1">
        <f t="shared" ref="J1203" si="769">SUM(J1204:J1205)</f>
        <v>0.38688827827102307</v>
      </c>
      <c r="K1203" s="1">
        <f t="shared" ref="K1203" si="770">SUM(K1204:K1205)</f>
        <v>0</v>
      </c>
    </row>
    <row r="1204" spans="2:11" x14ac:dyDescent="0.35">
      <c r="B1204" s="5" t="str">
        <f t="shared" ref="B1204:B1267" si="771">B1203</f>
        <v>SPS2</v>
      </c>
      <c r="C1204" s="5" t="str">
        <f t="shared" si="744"/>
        <v>CH</v>
      </c>
      <c r="D1204" t="s">
        <v>1338</v>
      </c>
      <c r="E1204" t="s">
        <v>8</v>
      </c>
      <c r="F1204" s="1">
        <f>[1]Transport!B$27/SUM([1]Transport!B$24,[1]Transport!B$27)*F1201*(F$45+F$612)/(F$45+F$612+F$47)</f>
        <v>8.2582559453804657E-3</v>
      </c>
      <c r="G1204" s="1">
        <f>[1]Transport!C$27/SUM([1]Transport!C$24,[1]Transport!C$27)*G1201*(G$45+G$612)/(G$45+G$612+G$47)</f>
        <v>1.0720457031694625E-2</v>
      </c>
      <c r="H1204" s="1">
        <f>[1]Transport!D$27/SUM([1]Transport!D$24,[1]Transport!D$27)*H1201*(H$45+H$612)/(H$45+H$612+H$47)</f>
        <v>1.0261414871481569E-2</v>
      </c>
      <c r="I1204" s="1">
        <f>[1]Transport!E$27/SUM([1]Transport!E$24,[1]Transport!E$27)*I1201*(I$45+I$612)/(I$45+I$612+I$47)</f>
        <v>9.0468963341011426E-4</v>
      </c>
      <c r="J1204" s="1">
        <f>[1]Transport!F$27/SUM([1]Transport!F$24,[1]Transport!F$27)*J1201*(J$45+J$612)/(J$45+J$612+J$47)</f>
        <v>9.1254262120787102E-5</v>
      </c>
      <c r="K1204" s="1">
        <f>[1]Transport!G$27/SUM([1]Transport!G$24,[1]Transport!G$27)*K1201*(K$45+K$612)/(K$45+K$612+K$47)</f>
        <v>0</v>
      </c>
    </row>
    <row r="1205" spans="2:11" x14ac:dyDescent="0.35">
      <c r="B1205" s="5" t="str">
        <f t="shared" si="771"/>
        <v>SPS2</v>
      </c>
      <c r="C1205" s="5" t="str">
        <f t="shared" si="744"/>
        <v>CH</v>
      </c>
      <c r="D1205" t="s">
        <v>1339</v>
      </c>
      <c r="E1205" t="s">
        <v>8</v>
      </c>
      <c r="F1205" s="1">
        <f>(F$47+F$714)/([1]Transport!B$24+[1]Transport!B$27)*F1201</f>
        <v>0</v>
      </c>
      <c r="G1205" s="1">
        <f>(G$47+G$714)/([1]Transport!C$24+[1]Transport!C$27)*G1201</f>
        <v>0</v>
      </c>
      <c r="H1205" s="1">
        <f>(H$47+H$714)/([1]Transport!D$24+[1]Transport!D$27)*H1201</f>
        <v>0</v>
      </c>
      <c r="I1205" s="1">
        <f>(I$47+I$714)/([1]Transport!E$24+[1]Transport!E$27)*I1201</f>
        <v>0</v>
      </c>
      <c r="J1205" s="1">
        <f>(J$47+J$714)/([1]Transport!F$24+[1]Transport!F$27)*J1201</f>
        <v>0.38679702400890226</v>
      </c>
      <c r="K1205" s="1">
        <f>(K$47+K$714)/([1]Transport!G$24+[1]Transport!G$27)*K1201</f>
        <v>0</v>
      </c>
    </row>
    <row r="1206" spans="2:11" x14ac:dyDescent="0.35">
      <c r="B1206" s="5" t="str">
        <f t="shared" si="771"/>
        <v>SPS2</v>
      </c>
      <c r="C1206" s="5" t="str">
        <f>C1201</f>
        <v>CH</v>
      </c>
      <c r="D1206" t="s">
        <v>1331</v>
      </c>
      <c r="E1206" t="s">
        <v>8</v>
      </c>
      <c r="F1206" s="1" cm="1">
        <f t="array" ref="F1206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6" s="1" cm="1">
        <f t="array" ref="G1206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6" s="1" cm="1">
        <f t="array" ref="H1206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6" s="1" cm="1">
        <f t="array" ref="I1206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6" s="1" cm="1">
        <f t="array" ref="J1206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6" s="1" cm="1">
        <f t="array" ref="K1206">SUMPRODUCT(("T_C-ICENGAEXT"=[1]OUT_TransportEnergyCons!$A$3:$A$1000)*1,("Var_Fin"=[1]OUT_TransportEnergyCons!$B$3:$B$1000)*1,ISNUMBER(SEARCH("NGA",[1]OUT_TransportEnergyCons!$C$3:$C$1000))*1,[1]OUT_TransportEnergyCons!I$3:I$1000)</f>
        <v>0</v>
      </c>
    </row>
    <row r="1207" spans="2:11" x14ac:dyDescent="0.35">
      <c r="B1207" s="5" t="str">
        <f t="shared" si="771"/>
        <v>SPS2</v>
      </c>
      <c r="C1207" s="5" t="str">
        <f t="shared" si="744"/>
        <v>CH</v>
      </c>
      <c r="D1207" t="s">
        <v>1332</v>
      </c>
      <c r="E1207" t="s">
        <v>8</v>
      </c>
      <c r="F1207" s="1" cm="1">
        <f t="array" ref="F1207">SUMPRODUCT(("T_C-ICE-NGA-S1"=[1]OUT_TransportEnergyCons!$A$3:$A$1000)*1,("Var_Fin"=[1]OUT_TransportEnergyCons!$B$3:$B$1000)*1,ISNUMBER(SEARCH("NGA",[1]OUT_TransportEnergyCons!$C$3:$C$1000))*1,[1]OUT_TransportEnergyCons!D$3:D$1000)</f>
        <v>3.5556289341867257E-3</v>
      </c>
      <c r="G1207" s="1" cm="1">
        <f t="array" ref="G1207">SUMPRODUCT(("T_C-ICE-NGA-S1"=[1]OUT_TransportEnergyCons!$A$3:$A$1000)*1,("Var_Fin"=[1]OUT_TransportEnergyCons!$B$3:$B$1000)*1,ISNUMBER(SEARCH("NGA",[1]OUT_TransportEnergyCons!$C$3:$C$1000))*1,[1]OUT_TransportEnergyCons!E$3:E$1000)</f>
        <v>2.4407264492643868E-3</v>
      </c>
      <c r="H1207" s="1" cm="1">
        <f t="array" ref="H1207">SUMPRODUCT(("T_C-ICE-NGA-S1"=[1]OUT_TransportEnergyCons!$A$3:$A$1000)*1,("Var_Fin"=[1]OUT_TransportEnergyCons!$B$3:$B$1000)*1,ISNUMBER(SEARCH("NGA",[1]OUT_TransportEnergyCons!$C$3:$C$1000))*1,[1]OUT_TransportEnergyCons!F$3:F$1000)</f>
        <v>2.1237348879931486E-3</v>
      </c>
      <c r="I1207" s="1" cm="1">
        <f t="array" ref="I1207">SUMPRODUCT(("T_C-ICE-NGA-S1"=[1]OUT_TransportEnergyCons!$A$3:$A$1000)*1,("Var_Fin"=[1]OUT_TransportEnergyCons!$B$3:$B$1000)*1,ISNUMBER(SEARCH("NGA",[1]OUT_TransportEnergyCons!$C$3:$C$1000))*1,[1]OUT_TransportEnergyCons!G$3:G$1000)</f>
        <v>6.6989450029819771E-4</v>
      </c>
      <c r="J1207" s="1" cm="1">
        <f t="array" ref="J1207">SUMPRODUCT(("T_C-ICE-NGA-S1"=[1]OUT_TransportEnergyCons!$A$3:$A$1000)*1,("Var_Fin"=[1]OUT_TransportEnergyCons!$B$3:$B$1000)*1,ISNUMBER(SEARCH("NGA",[1]OUT_TransportEnergyCons!$C$3:$C$1000))*1,[1]OUT_TransportEnergyCons!H$3:H$1000)</f>
        <v>5.183023082431574E-5</v>
      </c>
      <c r="K1207" s="1" cm="1">
        <f t="array" ref="K1207">SUMPRODUCT(("T_C-ICE-NGA-S1"=[1]OUT_TransportEnergyCons!$A$3:$A$1000)*1,("Var_Fin"=[1]OUT_TransportEnergyCons!$B$3:$B$1000)*1,ISNUMBER(SEARCH("NGA",[1]OUT_TransportEnergyCons!$C$3:$C$1000))*1,[1]OUT_TransportEnergyCons!I$3:I$1000)</f>
        <v>0</v>
      </c>
    </row>
    <row r="1208" spans="2:11" x14ac:dyDescent="0.35">
      <c r="B1208" s="5" t="str">
        <f t="shared" si="771"/>
        <v>SPS2</v>
      </c>
      <c r="C1208" s="5" t="str">
        <f t="shared" si="744"/>
        <v>CH</v>
      </c>
      <c r="D1208" t="s">
        <v>1333</v>
      </c>
      <c r="E1208" t="s">
        <v>8</v>
      </c>
      <c r="F1208" s="1" cm="1">
        <f t="array" ref="F1208">SUMPRODUCT(("T_C-ICE-NGA-S2"=[1]OUT_TransportEnergyCons!$A$3:$A$1000)*1,("Var_Fin"=[1]OUT_TransportEnergyCons!$B$3:$B$1000)*1,ISNUMBER(SEARCH("NGA",[1]OUT_TransportEnergyCons!$C$3:$C$1000))*1,[1]OUT_TransportEnergyCons!D$3:D$1000)</f>
        <v>5.2490475230953244E-2</v>
      </c>
      <c r="G1208" s="1" cm="1">
        <f t="array" ref="G1208">SUMPRODUCT(("T_C-ICE-NGA-S2"=[1]OUT_TransportEnergyCons!$A$3:$A$1000)*1,("Var_Fin"=[1]OUT_TransportEnergyCons!$B$3:$B$1000)*1,ISNUMBER(SEARCH("NGA",[1]OUT_TransportEnergyCons!$C$3:$C$1000))*1,[1]OUT_TransportEnergyCons!E$3:E$1000)</f>
        <v>5.672971182574657E-2</v>
      </c>
      <c r="H1208" s="1" cm="1">
        <f t="array" ref="H1208">SUMPRODUCT(("T_C-ICE-NGA-S2"=[1]OUT_TransportEnergyCons!$A$3:$A$1000)*1,("Var_Fin"=[1]OUT_TransportEnergyCons!$B$3:$B$1000)*1,ISNUMBER(SEARCH("NGA",[1]OUT_TransportEnergyCons!$C$3:$C$1000))*1,[1]OUT_TransportEnergyCons!F$3:F$1000)</f>
        <v>5.7407474406780068E-2</v>
      </c>
      <c r="I1208" s="1" cm="1">
        <f t="array" ref="I1208">SUMPRODUCT(("T_C-ICE-NGA-S2"=[1]OUT_TransportEnergyCons!$A$3:$A$1000)*1,("Var_Fin"=[1]OUT_TransportEnergyCons!$B$3:$B$1000)*1,ISNUMBER(SEARCH("NGA",[1]OUT_TransportEnergyCons!$C$3:$C$1000))*1,[1]OUT_TransportEnergyCons!G$3:G$1000)</f>
        <v>1.8000277030431259E-3</v>
      </c>
      <c r="J1208" s="1" cm="1">
        <f t="array" ref="J1208">SUMPRODUCT(("T_C-ICE-NGA-S2"=[1]OUT_TransportEnergyCons!$A$3:$A$1000)*1,("Var_Fin"=[1]OUT_TransportEnergyCons!$B$3:$B$1000)*1,ISNUMBER(SEARCH("NGA",[1]OUT_TransportEnergyCons!$C$3:$C$1000))*1,[1]OUT_TransportEnergyCons!H$3:H$1000)</f>
        <v>8.4085917455497972E-5</v>
      </c>
      <c r="K1208" s="1" cm="1">
        <f t="array" ref="K1208">SUMPRODUCT(("T_C-ICE-NGA-S2"=[1]OUT_TransportEnergyCons!$A$3:$A$1000)*1,("Var_Fin"=[1]OUT_TransportEnergyCons!$B$3:$B$1000)*1,ISNUMBER(SEARCH("NGA",[1]OUT_TransportEnergyCons!$C$3:$C$1000))*1,[1]OUT_TransportEnergyCons!I$3:I$1000)</f>
        <v>0</v>
      </c>
    </row>
    <row r="1209" spans="2:11" x14ac:dyDescent="0.35">
      <c r="B1209" s="5" t="str">
        <f t="shared" si="771"/>
        <v>SPS2</v>
      </c>
      <c r="C1209" s="5" t="str">
        <f t="shared" si="744"/>
        <v>CH</v>
      </c>
      <c r="D1209" t="s">
        <v>1334</v>
      </c>
      <c r="E1209" t="s">
        <v>8</v>
      </c>
      <c r="F1209" s="1" cm="1">
        <f t="array" ref="F1209">SUMPRODUCT(("T_C-ICE-NGA-S3"=[1]OUT_TransportEnergyCons!$A$3:$A$1000)*1,("Var_Fin"=[1]OUT_TransportEnergyCons!$B$3:$B$1000)*1,ISNUMBER(SEARCH("NGA",[1]OUT_TransportEnergyCons!$C$3:$C$1000))*1,[1]OUT_TransportEnergyCons!D$3:D$1000)</f>
        <v>4.1817905986837253E-3</v>
      </c>
      <c r="G1209" s="1" cm="1">
        <f t="array" ref="G1209">SUMPRODUCT(("T_C-ICE-NGA-S3"=[1]OUT_TransportEnergyCons!$A$3:$A$1000)*1,("Var_Fin"=[1]OUT_TransportEnergyCons!$B$3:$B$1000)*1,ISNUMBER(SEARCH("NGA",[1]OUT_TransportEnergyCons!$C$3:$C$1000))*1,[1]OUT_TransportEnergyCons!E$3:E$1000)</f>
        <v>4.8615118563603323E-3</v>
      </c>
      <c r="H1209" s="1" cm="1">
        <f t="array" ref="H1209">SUMPRODUCT(("T_C-ICE-NGA-S3"=[1]OUT_TransportEnergyCons!$A$3:$A$1000)*1,("Var_Fin"=[1]OUT_TransportEnergyCons!$B$3:$B$1000)*1,ISNUMBER(SEARCH("NGA",[1]OUT_TransportEnergyCons!$C$3:$C$1000))*1,[1]OUT_TransportEnergyCons!F$3:F$1000)</f>
        <v>5.1755778709944057E-3</v>
      </c>
      <c r="I1209" s="1" cm="1">
        <f t="array" ref="I1209">SUMPRODUCT(("T_C-ICE-NGA-S3"=[1]OUT_TransportEnergyCons!$A$3:$A$1000)*1,("Var_Fin"=[1]OUT_TransportEnergyCons!$B$3:$B$1000)*1,ISNUMBER(SEARCH("NGA",[1]OUT_TransportEnergyCons!$C$3:$C$1000))*1,[1]OUT_TransportEnergyCons!G$3:G$1000)</f>
        <v>1.7775802609798861E-3</v>
      </c>
      <c r="J1209" s="1" cm="1">
        <f t="array" ref="J1209">SUMPRODUCT(("T_C-ICE-NGA-S3"=[1]OUT_TransportEnergyCons!$A$3:$A$1000)*1,("Var_Fin"=[1]OUT_TransportEnergyCons!$B$3:$B$1000)*1,ISNUMBER(SEARCH("NGA",[1]OUT_TransportEnergyCons!$C$3:$C$1000))*1,[1]OUT_TransportEnergyCons!H$3:H$1000)</f>
        <v>1.0056422483977918E-4</v>
      </c>
      <c r="K1209" s="1" cm="1">
        <f t="array" ref="K1209">SUMPRODUCT(("T_C-ICE-NGA-S3"=[1]OUT_TransportEnergyCons!$A$3:$A$1000)*1,("Var_Fin"=[1]OUT_TransportEnergyCons!$B$3:$B$1000)*1,ISNUMBER(SEARCH("NGA",[1]OUT_TransportEnergyCons!$C$3:$C$1000))*1,[1]OUT_TransportEnergyCons!I$3:I$1000)</f>
        <v>0</v>
      </c>
    </row>
    <row r="1210" spans="2:11" x14ac:dyDescent="0.35">
      <c r="B1210" s="5" t="str">
        <f t="shared" si="771"/>
        <v>SPS2</v>
      </c>
      <c r="C1210" s="5" t="str">
        <f t="shared" si="744"/>
        <v>CH</v>
      </c>
      <c r="D1210" t="s">
        <v>1335</v>
      </c>
      <c r="E1210" t="s">
        <v>8</v>
      </c>
      <c r="F1210" s="1" cm="1">
        <f t="array" ref="F1210">SUMPRODUCT(("T_C-ICE-NGA-S4"=[1]OUT_TransportEnergyCons!$A$3:$A$1000)*1,("Var_Fin"=[1]OUT_TransportEnergyCons!$B$3:$B$1000)*1,ISNUMBER(SEARCH("NGA",[1]OUT_TransportEnergyCons!$C$3:$C$1000))*1,[1]OUT_TransportEnergyCons!D$3:D$1000)</f>
        <v>4.8121001540177753E-2</v>
      </c>
      <c r="G1210" s="1" cm="1">
        <f t="array" ref="G1210">SUMPRODUCT(("T_C-ICE-NGA-S4"=[1]OUT_TransportEnergyCons!$A$3:$A$1000)*1,("Var_Fin"=[1]OUT_TransportEnergyCons!$B$3:$B$1000)*1,ISNUMBER(SEARCH("NGA",[1]OUT_TransportEnergyCons!$C$3:$C$1000))*1,[1]OUT_TransportEnergyCons!E$3:E$1000)</f>
        <v>4.7301076335074875E-2</v>
      </c>
      <c r="H1210" s="1" cm="1">
        <f t="array" ref="H1210">SUMPRODUCT(("T_C-ICE-NGA-S4"=[1]OUT_TransportEnergyCons!$A$3:$A$1000)*1,("Var_Fin"=[1]OUT_TransportEnergyCons!$B$3:$B$1000)*1,ISNUMBER(SEARCH("NGA",[1]OUT_TransportEnergyCons!$C$3:$C$1000))*1,[1]OUT_TransportEnergyCons!F$3:F$1000)</f>
        <v>4.4183162247219541E-2</v>
      </c>
      <c r="I1210" s="1" cm="1">
        <f t="array" ref="I1210">SUMPRODUCT(("T_C-ICE-NGA-S4"=[1]OUT_TransportEnergyCons!$A$3:$A$1000)*1,("Var_Fin"=[1]OUT_TransportEnergyCons!$B$3:$B$1000)*1,ISNUMBER(SEARCH("NGA",[1]OUT_TransportEnergyCons!$C$3:$C$1000))*1,[1]OUT_TransportEnergyCons!G$3:G$1000)</f>
        <v>1.206702759482277E-3</v>
      </c>
      <c r="J1210" s="1" cm="1">
        <f t="array" ref="J1210">SUMPRODUCT(("T_C-ICE-NGA-S4"=[1]OUT_TransportEnergyCons!$A$3:$A$1000)*1,("Var_Fin"=[1]OUT_TransportEnergyCons!$B$3:$B$1000)*1,ISNUMBER(SEARCH("NGA",[1]OUT_TransportEnergyCons!$C$3:$C$1000))*1,[1]OUT_TransportEnergyCons!H$3:H$1000)</f>
        <v>9.3075383284306622E-5</v>
      </c>
      <c r="K1210" s="1" cm="1">
        <f t="array" ref="K1210">SUMPRODUCT(("T_C-ICE-NGA-S4"=[1]OUT_TransportEnergyCons!$A$3:$A$1000)*1,("Var_Fin"=[1]OUT_TransportEnergyCons!$B$3:$B$1000)*1,ISNUMBER(SEARCH("NGA",[1]OUT_TransportEnergyCons!$C$3:$C$1000))*1,[1]OUT_TransportEnergyCons!I$3:I$1000)</f>
        <v>0</v>
      </c>
    </row>
    <row r="1211" spans="2:11" x14ac:dyDescent="0.35">
      <c r="B1211" s="5" t="str">
        <f t="shared" si="771"/>
        <v>SPS2</v>
      </c>
      <c r="C1211" s="5" t="str">
        <f t="shared" si="744"/>
        <v>CH</v>
      </c>
      <c r="D1211" s="2" t="s">
        <v>1133</v>
      </c>
      <c r="E1211" s="2" t="s">
        <v>1132</v>
      </c>
      <c r="F1211" s="3">
        <f>SUM(F1212:F1261)</f>
        <v>49.003685806482267</v>
      </c>
      <c r="G1211" s="3">
        <f t="shared" ref="G1211:K1211" si="772">SUM(G1212:G1261)</f>
        <v>55.6715145004692</v>
      </c>
      <c r="H1211" s="3">
        <f t="shared" si="772"/>
        <v>58.440522931216798</v>
      </c>
      <c r="I1211" s="3">
        <f t="shared" si="772"/>
        <v>62.339758970727189</v>
      </c>
      <c r="J1211" s="3">
        <f t="shared" si="772"/>
        <v>62.344634758335786</v>
      </c>
      <c r="K1211" s="3">
        <f t="shared" si="772"/>
        <v>61.150578148283834</v>
      </c>
    </row>
    <row r="1212" spans="2:11" x14ac:dyDescent="0.35">
      <c r="B1212" s="5" t="str">
        <f t="shared" si="771"/>
        <v>SPS2</v>
      </c>
      <c r="C1212" s="5" t="str">
        <f>C1211</f>
        <v>CH</v>
      </c>
      <c r="D1212" t="s">
        <v>1134</v>
      </c>
      <c r="E1212" t="str">
        <f>E1211</f>
        <v>billion km/yr.</v>
      </c>
      <c r="F1212" s="1" cm="1">
        <f t="array" ref="F1212">SUMPRODUCT(("T_C-BATELCEXT"=[1]OUT_TransportEnergyCons!$A$3:$A$1000)*1,("var_fout"=[1]OUT_TransportEnergyCons!$B$3:$B$1000)*1,ISNUMBER(SEARCH("TPCAR",[1]OUT_TransportEnergyCons!$C$3:$C$1000))*1,[1]OUT_TransportEnergyCons!D$3:D$1000)</f>
        <v>0.41618583232497658</v>
      </c>
      <c r="G1212" s="1" cm="1">
        <f t="array" ref="G1212">SUMPRODUCT(("T_C-BATELCEXT"=[1]OUT_TransportEnergyCons!$A$3:$A$1000)*1,("var_fout"=[1]OUT_TransportEnergyCons!$B$3:$B$1000)*1,ISNUMBER(SEARCH("TPCAR",[1]OUT_TransportEnergyCons!$C$3:$C$1000))*1,[1]OUT_TransportEnergyCons!E$3:E$1000)</f>
        <v>0.36070656532364753</v>
      </c>
      <c r="H1212" s="1" cm="1">
        <f t="array" ref="H1212">SUMPRODUCT(("T_C-BATELCEXT"=[1]OUT_TransportEnergyCons!$A$3:$A$1000)*1,("var_fout"=[1]OUT_TransportEnergyCons!$B$3:$B$1000)*1,ISNUMBER(SEARCH("TPCAR",[1]OUT_TransportEnergyCons!$C$3:$C$1000))*1,[1]OUT_TransportEnergyCons!F$3:F$1000)</f>
        <v>0.27745862694424839</v>
      </c>
      <c r="I1212" s="1" cm="1">
        <f t="array" ref="I1212">SUMPRODUCT(("T_C-BATELCEXT"=[1]OUT_TransportEnergyCons!$A$3:$A$1000)*1,("var_fout"=[1]OUT_TransportEnergyCons!$B$3:$B$1000)*1,ISNUMBER(SEARCH("TPCAR",[1]OUT_TransportEnergyCons!$C$3:$C$1000))*1,[1]OUT_TransportEnergyCons!G$3:G$1000)</f>
        <v>0.13873278789190563</v>
      </c>
      <c r="J1212" s="1" cm="1">
        <f t="array" ref="J1212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2" s="1" cm="1">
        <f t="array" ref="K1212">SUMPRODUCT(("T_C-BATELCEXT"=[1]OUT_TransportEnergyCons!$A$3:$A$1000)*1,("var_fout"=[1]OUT_TransportEnergyCons!$B$3:$B$1000)*1,ISNUMBER(SEARCH("TPCAR",[1]OUT_TransportEnergyCons!$C$3:$C$1000))*1,[1]OUT_TransportEnergyCons!I$3:I$1000)</f>
        <v>0</v>
      </c>
    </row>
    <row r="1213" spans="2:11" x14ac:dyDescent="0.35">
      <c r="B1213" s="5" t="str">
        <f t="shared" si="771"/>
        <v>SPS2</v>
      </c>
      <c r="C1213" s="5" t="str">
        <f t="shared" si="744"/>
        <v>CH</v>
      </c>
      <c r="D1213" t="s">
        <v>1135</v>
      </c>
      <c r="E1213" t="str">
        <f t="shared" ref="E1213:E1261" si="773">E1212</f>
        <v>billion km/yr.</v>
      </c>
      <c r="F1213" s="1" cm="1">
        <f t="array" ref="F1213">SUMPRODUCT(("T_C-BAT-ELC-S1"=[1]OUT_TransportEnergyCons!$A$3:$A$1000)*1,("var_fout"=[1]OUT_TransportEnergyCons!$B$3:$B$1000)*1,ISNUMBER(SEARCH("TPCAR",[1]OUT_TransportEnergyCons!$C$3:$C$1000))*1,[1]OUT_TransportEnergyCons!D$3:D$1000)</f>
        <v>1.4789615611776444E-2</v>
      </c>
      <c r="G1213" s="1" cm="1">
        <f t="array" ref="G1213">SUMPRODUCT(("T_C-BAT-ELC-S1"=[1]OUT_TransportEnergyCons!$A$3:$A$1000)*1,("var_fout"=[1]OUT_TransportEnergyCons!$B$3:$B$1000)*1,ISNUMBER(SEARCH("TPCAR",[1]OUT_TransportEnergyCons!$C$3:$C$1000))*1,[1]OUT_TransportEnergyCons!E$3:E$1000)</f>
        <v>2.5696453080409885E-2</v>
      </c>
      <c r="H1213" s="1" cm="1">
        <f t="array" ref="H1213">SUMPRODUCT(("T_C-BAT-ELC-S1"=[1]OUT_TransportEnergyCons!$A$3:$A$1000)*1,("var_fout"=[1]OUT_TransportEnergyCons!$B$3:$B$1000)*1,ISNUMBER(SEARCH("TPCAR",[1]OUT_TransportEnergyCons!$C$3:$C$1000))*1,[1]OUT_TransportEnergyCons!F$3:F$1000)</f>
        <v>1.9510180844128439E-2</v>
      </c>
      <c r="I1213" s="1" cm="1">
        <f t="array" ref="I1213">SUMPRODUCT(("T_C-BAT-ELC-S1"=[1]OUT_TransportEnergyCons!$A$3:$A$1000)*1,("var_fout"=[1]OUT_TransportEnergyCons!$B$3:$B$1000)*1,ISNUMBER(SEARCH("TPCAR",[1]OUT_TransportEnergyCons!$C$3:$C$1000))*1,[1]OUT_TransportEnergyCons!G$3:G$1000)</f>
        <v>0.9880154719125479</v>
      </c>
      <c r="J1213" s="1" cm="1">
        <f t="array" ref="J1213">SUMPRODUCT(("T_C-BAT-ELC-S1"=[1]OUT_TransportEnergyCons!$A$3:$A$1000)*1,("var_fout"=[1]OUT_TransportEnergyCons!$B$3:$B$1000)*1,ISNUMBER(SEARCH("TPCAR",[1]OUT_TransportEnergyCons!$C$3:$C$1000))*1,[1]OUT_TransportEnergyCons!H$3:H$1000)</f>
        <v>2.3100093561538104</v>
      </c>
      <c r="K1213" s="1" cm="1">
        <f t="array" ref="K1213">SUMPRODUCT(("T_C-BAT-ELC-S1"=[1]OUT_TransportEnergyCons!$A$3:$A$1000)*1,("var_fout"=[1]OUT_TransportEnergyCons!$B$3:$B$1000)*1,ISNUMBER(SEARCH("TPCAR",[1]OUT_TransportEnergyCons!$C$3:$C$1000))*1,[1]OUT_TransportEnergyCons!I$3:I$1000)</f>
        <v>2.445494562057994</v>
      </c>
    </row>
    <row r="1214" spans="2:11" x14ac:dyDescent="0.35">
      <c r="B1214" s="5" t="str">
        <f t="shared" si="771"/>
        <v>SPS2</v>
      </c>
      <c r="C1214" s="5" t="str">
        <f t="shared" si="744"/>
        <v>CH</v>
      </c>
      <c r="D1214" t="s">
        <v>1136</v>
      </c>
      <c r="E1214" t="str">
        <f t="shared" si="773"/>
        <v>billion km/yr.</v>
      </c>
      <c r="F1214" s="1" cm="1">
        <f t="array" ref="F1214">SUMPRODUCT(("T_C-BAT-ELC-S2"=[1]OUT_TransportEnergyCons!$A$3:$A$1000)*1,("var_fout"=[1]OUT_TransportEnergyCons!$B$3:$B$1000)*1,ISNUMBER(SEARCH("TPCAR",[1]OUT_TransportEnergyCons!$C$3:$C$1000))*1,[1]OUT_TransportEnergyCons!D$3:D$1000)</f>
        <v>9.5996576926147034E-2</v>
      </c>
      <c r="G1214" s="1" cm="1">
        <f t="array" ref="G1214">SUMPRODUCT(("T_C-BAT-ELC-S2"=[1]OUT_TransportEnergyCons!$A$3:$A$1000)*1,("var_fout"=[1]OUT_TransportEnergyCons!$B$3:$B$1000)*1,ISNUMBER(SEARCH("TPCAR",[1]OUT_TransportEnergyCons!$C$3:$C$1000))*1,[1]OUT_TransportEnergyCons!E$3:E$1000)</f>
        <v>0.15732329963823871</v>
      </c>
      <c r="H1214" s="1" cm="1">
        <f t="array" ref="H1214">SUMPRODUCT(("T_C-BAT-ELC-S2"=[1]OUT_TransportEnergyCons!$A$3:$A$1000)*1,("var_fout"=[1]OUT_TransportEnergyCons!$B$3:$B$1000)*1,ISNUMBER(SEARCH("TPCAR",[1]OUT_TransportEnergyCons!$C$3:$C$1000))*1,[1]OUT_TransportEnergyCons!F$3:F$1000)</f>
        <v>0.19221932654353249</v>
      </c>
      <c r="I1214" s="1" cm="1">
        <f t="array" ref="I1214">SUMPRODUCT(("T_C-BAT-ELC-S2"=[1]OUT_TransportEnergyCons!$A$3:$A$1000)*1,("var_fout"=[1]OUT_TransportEnergyCons!$B$3:$B$1000)*1,ISNUMBER(SEARCH("TPCAR",[1]OUT_TransportEnergyCons!$C$3:$C$1000))*1,[1]OUT_TransportEnergyCons!G$3:G$1000)</f>
        <v>6.7727511301954788</v>
      </c>
      <c r="J1214" s="1" cm="1">
        <f t="array" ref="J1214">SUMPRODUCT(("T_C-BAT-ELC-S2"=[1]OUT_TransportEnergyCons!$A$3:$A$1000)*1,("var_fout"=[1]OUT_TransportEnergyCons!$B$3:$B$1000)*1,ISNUMBER(SEARCH("TPCAR",[1]OUT_TransportEnergyCons!$C$3:$C$1000))*1,[1]OUT_TransportEnergyCons!H$3:H$1000)</f>
        <v>18.07579095818625</v>
      </c>
      <c r="K1214" s="1" cm="1">
        <f t="array" ref="K1214">SUMPRODUCT(("T_C-BAT-ELC-S2"=[1]OUT_TransportEnergyCons!$A$3:$A$1000)*1,("var_fout"=[1]OUT_TransportEnergyCons!$B$3:$B$1000)*1,ISNUMBER(SEARCH("TPCAR",[1]OUT_TransportEnergyCons!$C$3:$C$1000))*1,[1]OUT_TransportEnergyCons!I$3:I$1000)</f>
        <v>18.032238160605196</v>
      </c>
    </row>
    <row r="1215" spans="2:11" x14ac:dyDescent="0.35">
      <c r="B1215" s="5" t="str">
        <f t="shared" si="771"/>
        <v>SPS2</v>
      </c>
      <c r="C1215" s="5" t="str">
        <f t="shared" si="744"/>
        <v>CH</v>
      </c>
      <c r="D1215" t="s">
        <v>1137</v>
      </c>
      <c r="E1215" t="str">
        <f t="shared" si="773"/>
        <v>billion km/yr.</v>
      </c>
      <c r="F1215" s="1" cm="1">
        <f t="array" ref="F1215">SUMPRODUCT(("T_C-BAT-ELC-S3"=[1]OUT_TransportEnergyCons!$A$3:$A$1000)*1,("var_fout"=[1]OUT_TransportEnergyCons!$B$3:$B$1000)*1,ISNUMBER(SEARCH("TPCAR",[1]OUT_TransportEnergyCons!$C$3:$C$1000))*1,[1]OUT_TransportEnergyCons!D$3:D$1000)</f>
        <v>6.0622107994167257E-2</v>
      </c>
      <c r="G1215" s="1" cm="1">
        <f t="array" ref="G1215">SUMPRODUCT(("T_C-BAT-ELC-S3"=[1]OUT_TransportEnergyCons!$A$3:$A$1000)*1,("var_fout"=[1]OUT_TransportEnergyCons!$B$3:$B$1000)*1,ISNUMBER(SEARCH("TPCAR",[1]OUT_TransportEnergyCons!$C$3:$C$1000))*1,[1]OUT_TransportEnergyCons!E$3:E$1000)</f>
        <v>0.13231319581261727</v>
      </c>
      <c r="H1215" s="1" cm="1">
        <f t="array" ref="H1215">SUMPRODUCT(("T_C-BAT-ELC-S3"=[1]OUT_TransportEnergyCons!$A$3:$A$1000)*1,("var_fout"=[1]OUT_TransportEnergyCons!$B$3:$B$1000)*1,ISNUMBER(SEARCH("TPCAR",[1]OUT_TransportEnergyCons!$C$3:$C$1000))*1,[1]OUT_TransportEnergyCons!F$3:F$1000)</f>
        <v>0.40581037657096619</v>
      </c>
      <c r="I1215" s="1" cm="1">
        <f t="array" ref="I1215">SUMPRODUCT(("T_C-BAT-ELC-S3"=[1]OUT_TransportEnergyCons!$A$3:$A$1000)*1,("var_fout"=[1]OUT_TransportEnergyCons!$B$3:$B$1000)*1,ISNUMBER(SEARCH("TPCAR",[1]OUT_TransportEnergyCons!$C$3:$C$1000))*1,[1]OUT_TransportEnergyCons!G$3:G$1000)</f>
        <v>0.8941204019691672</v>
      </c>
      <c r="J1215" s="1" cm="1">
        <f t="array" ref="J1215">SUMPRODUCT(("T_C-BAT-ELC-S3"=[1]OUT_TransportEnergyCons!$A$3:$A$1000)*1,("var_fout"=[1]OUT_TransportEnergyCons!$B$3:$B$1000)*1,ISNUMBER(SEARCH("TPCAR",[1]OUT_TransportEnergyCons!$C$3:$C$1000))*1,[1]OUT_TransportEnergyCons!H$3:H$1000)</f>
        <v>7.0113025422229462</v>
      </c>
      <c r="K1215" s="1" cm="1">
        <f t="array" ref="K1215">SUMPRODUCT(("T_C-BAT-ELC-S3"=[1]OUT_TransportEnergyCons!$A$3:$A$1000)*1,("var_fout"=[1]OUT_TransportEnergyCons!$B$3:$B$1000)*1,ISNUMBER(SEARCH("TPCAR",[1]OUT_TransportEnergyCons!$C$3:$C$1000))*1,[1]OUT_TransportEnergyCons!I$3:I$1000)</f>
        <v>15.279691928000556</v>
      </c>
    </row>
    <row r="1216" spans="2:11" x14ac:dyDescent="0.35">
      <c r="B1216" s="5" t="str">
        <f t="shared" si="771"/>
        <v>SPS2</v>
      </c>
      <c r="C1216" s="5" t="str">
        <f t="shared" ref="C1216:C1262" si="774">C1215</f>
        <v>CH</v>
      </c>
      <c r="D1216" t="s">
        <v>1138</v>
      </c>
      <c r="E1216" t="str">
        <f t="shared" si="773"/>
        <v>billion km/yr.</v>
      </c>
      <c r="F1216" s="1" cm="1">
        <f t="array" ref="F1216">SUMPRODUCT(("T_C-BAT-ELC-S4"=[1]OUT_TransportEnergyCons!$A$3:$A$1000)*1,("var_fout"=[1]OUT_TransportEnergyCons!$B$3:$B$1000)*1,ISNUMBER(SEARCH("TPCAR",[1]OUT_TransportEnergyCons!$C$3:$C$1000))*1,[1]OUT_TransportEnergyCons!D$3:D$1000)</f>
        <v>0.19453161387412532</v>
      </c>
      <c r="G1216" s="1" cm="1">
        <f t="array" ref="G1216">SUMPRODUCT(("T_C-BAT-ELC-S4"=[1]OUT_TransportEnergyCons!$A$3:$A$1000)*1,("var_fout"=[1]OUT_TransportEnergyCons!$B$3:$B$1000)*1,ISNUMBER(SEARCH("TPCAR",[1]OUT_TransportEnergyCons!$C$3:$C$1000))*1,[1]OUT_TransportEnergyCons!E$3:E$1000)</f>
        <v>1.3671694742279616</v>
      </c>
      <c r="H1216" s="1" cm="1">
        <f t="array" ref="H1216">SUMPRODUCT(("T_C-BAT-ELC-S4"=[1]OUT_TransportEnergyCons!$A$3:$A$1000)*1,("var_fout"=[1]OUT_TransportEnergyCons!$B$3:$B$1000)*1,ISNUMBER(SEARCH("TPCAR",[1]OUT_TransportEnergyCons!$C$3:$C$1000))*1,[1]OUT_TransportEnergyCons!F$3:F$1000)</f>
        <v>4.4129173892396798</v>
      </c>
      <c r="I1216" s="1" cm="1">
        <f t="array" ref="I1216">SUMPRODUCT(("T_C-BAT-ELC-S4"=[1]OUT_TransportEnergyCons!$A$3:$A$1000)*1,("var_fout"=[1]OUT_TransportEnergyCons!$B$3:$B$1000)*1,ISNUMBER(SEARCH("TPCAR",[1]OUT_TransportEnergyCons!$C$3:$C$1000))*1,[1]OUT_TransportEnergyCons!G$3:G$1000)</f>
        <v>14.17514621784483</v>
      </c>
      <c r="J1216" s="1" cm="1">
        <f t="array" ref="J1216">SUMPRODUCT(("T_C-BAT-ELC-S4"=[1]OUT_TransportEnergyCons!$A$3:$A$1000)*1,("var_fout"=[1]OUT_TransportEnergyCons!$B$3:$B$1000)*1,ISNUMBER(SEARCH("TPCAR",[1]OUT_TransportEnergyCons!$C$3:$C$1000))*1,[1]OUT_TransportEnergyCons!H$3:H$1000)</f>
        <v>22.723620628861326</v>
      </c>
      <c r="K1216" s="1" cm="1">
        <f t="array" ref="K1216">SUMPRODUCT(("T_C-BAT-ELC-S4"=[1]OUT_TransportEnergyCons!$A$3:$A$1000)*1,("var_fout"=[1]OUT_TransportEnergyCons!$B$3:$B$1000)*1,ISNUMBER(SEARCH("TPCAR",[1]OUT_TransportEnergyCons!$C$3:$C$1000))*1,[1]OUT_TransportEnergyCons!I$3:I$1000)</f>
        <v>23.566117913479829</v>
      </c>
    </row>
    <row r="1217" spans="2:11" x14ac:dyDescent="0.35">
      <c r="B1217" s="5" t="str">
        <f t="shared" si="771"/>
        <v>SPS2</v>
      </c>
      <c r="C1217" s="5" t="str">
        <f t="shared" si="774"/>
        <v>CH</v>
      </c>
      <c r="D1217" t="s">
        <v>1139</v>
      </c>
      <c r="E1217" t="str">
        <f t="shared" si="773"/>
        <v>billion km/yr.</v>
      </c>
      <c r="F1217" s="1" cm="1">
        <f t="array" ref="F1217">SUMPRODUCT(("T_C-PEV-GSL-S1"=[1]OUT_TransportEnergyCons!$A$3:$A$1000)*1,("var_fout"=[1]OUT_TransportEnergyCons!$B$3:$B$1000)*1,ISNUMBER(SEARCH("TPCAR",[1]OUT_TransportEnergyCons!$C$3:$C$1000))*1,[1]OUT_TransportEnergyCons!D$3:D$1000)</f>
        <v>2.1724019484199836E-4</v>
      </c>
      <c r="G1217" s="1" cm="1">
        <f t="array" ref="G1217">SUMPRODUCT(("T_C-PEV-GSL-S1"=[1]OUT_TransportEnergyCons!$A$3:$A$1000)*1,("var_fout"=[1]OUT_TransportEnergyCons!$B$3:$B$1000)*1,ISNUMBER(SEARCH("TPCAR",[1]OUT_TransportEnergyCons!$C$3:$C$1000))*1,[1]OUT_TransportEnergyCons!E$3:E$1000)</f>
        <v>1.9972047136383965E-3</v>
      </c>
      <c r="H1217" s="1" cm="1">
        <f t="array" ref="H1217">SUMPRODUCT(("T_C-PEV-GSL-S1"=[1]OUT_TransportEnergyCons!$A$3:$A$1000)*1,("var_fout"=[1]OUT_TransportEnergyCons!$B$3:$B$1000)*1,ISNUMBER(SEARCH("TPCAR",[1]OUT_TransportEnergyCons!$C$3:$C$1000))*1,[1]OUT_TransportEnergyCons!F$3:F$1000)</f>
        <v>2.4918580441397132E-3</v>
      </c>
      <c r="I1217" s="1" cm="1">
        <f t="array" ref="I1217">SUMPRODUCT(("T_C-PEV-GSL-S1"=[1]OUT_TransportEnergyCons!$A$3:$A$1000)*1,("var_fout"=[1]OUT_TransportEnergyCons!$B$3:$B$1000)*1,ISNUMBER(SEARCH("TPCAR",[1]OUT_TransportEnergyCons!$C$3:$C$1000))*1,[1]OUT_TransportEnergyCons!G$3:G$1000)</f>
        <v>8.488750505212965E-3</v>
      </c>
      <c r="J1217" s="1" cm="1">
        <f t="array" ref="J1217">SUMPRODUCT(("T_C-PEV-GSL-S1"=[1]OUT_TransportEnergyCons!$A$3:$A$1000)*1,("var_fout"=[1]OUT_TransportEnergyCons!$B$3:$B$1000)*1,ISNUMBER(SEARCH("TPCAR",[1]OUT_TransportEnergyCons!$C$3:$C$1000))*1,[1]OUT_TransportEnergyCons!H$3:H$1000)</f>
        <v>6.3906922248450314E-3</v>
      </c>
      <c r="K1217" s="1" cm="1">
        <f t="array" ref="K1217">SUMPRODUCT(("T_C-PEV-GSL-S1"=[1]OUT_TransportEnergyCons!$A$3:$A$1000)*1,("var_fout"=[1]OUT_TransportEnergyCons!$B$3:$B$1000)*1,ISNUMBER(SEARCH("TPCAR",[1]OUT_TransportEnergyCons!$C$3:$C$1000))*1,[1]OUT_TransportEnergyCons!I$3:I$1000)</f>
        <v>1.1086728604018229E-3</v>
      </c>
    </row>
    <row r="1218" spans="2:11" x14ac:dyDescent="0.35">
      <c r="B1218" s="5" t="str">
        <f t="shared" si="771"/>
        <v>SPS2</v>
      </c>
      <c r="C1218" s="5" t="str">
        <f t="shared" si="774"/>
        <v>CH</v>
      </c>
      <c r="D1218" t="s">
        <v>1140</v>
      </c>
      <c r="E1218" t="str">
        <f t="shared" si="773"/>
        <v>billion km/yr.</v>
      </c>
      <c r="F1218" s="1" cm="1">
        <f t="array" ref="F1218">SUMPRODUCT(("T_C-PEV-GSL-S2"=[1]OUT_TransportEnergyCons!$A$3:$A$1000)*1,("var_fout"=[1]OUT_TransportEnergyCons!$B$3:$B$1000)*1,ISNUMBER(SEARCH("TPCAR",[1]OUT_TransportEnergyCons!$C$3:$C$1000))*1,[1]OUT_TransportEnergyCons!D$3:D$1000)</f>
        <v>4.7217721184972791E-2</v>
      </c>
      <c r="G1218" s="1" cm="1">
        <f t="array" ref="G1218">SUMPRODUCT(("T_C-PEV-GSL-S2"=[1]OUT_TransportEnergyCons!$A$3:$A$1000)*1,("var_fout"=[1]OUT_TransportEnergyCons!$B$3:$B$1000)*1,ISNUMBER(SEARCH("TPCAR",[1]OUT_TransportEnergyCons!$C$3:$C$1000))*1,[1]OUT_TransportEnergyCons!E$3:E$1000)</f>
        <v>9.9490964280913377E-2</v>
      </c>
      <c r="H1218" s="1" cm="1">
        <f t="array" ref="H1218">SUMPRODUCT(("T_C-PEV-GSL-S2"=[1]OUT_TransportEnergyCons!$A$3:$A$1000)*1,("var_fout"=[1]OUT_TransportEnergyCons!$B$3:$B$1000)*1,ISNUMBER(SEARCH("TPCAR",[1]OUT_TransportEnergyCons!$C$3:$C$1000))*1,[1]OUT_TransportEnergyCons!F$3:F$1000)</f>
        <v>7.4849124977495018E-2</v>
      </c>
      <c r="I1218" s="1" cm="1">
        <f t="array" ref="I1218">SUMPRODUCT(("T_C-PEV-GSL-S2"=[1]OUT_TransportEnergyCons!$A$3:$A$1000)*1,("var_fout"=[1]OUT_TransportEnergyCons!$B$3:$B$1000)*1,ISNUMBER(SEARCH("TPCAR",[1]OUT_TransportEnergyCons!$C$3:$C$1000))*1,[1]OUT_TransportEnergyCons!G$3:G$1000)</f>
        <v>8.7482841873528602E-2</v>
      </c>
      <c r="J1218" s="1" cm="1">
        <f t="array" ref="J1218">SUMPRODUCT(("T_C-PEV-GSL-S2"=[1]OUT_TransportEnergyCons!$A$3:$A$1000)*1,("var_fout"=[1]OUT_TransportEnergyCons!$B$3:$B$1000)*1,ISNUMBER(SEARCH("TPCAR",[1]OUT_TransportEnergyCons!$C$3:$C$1000))*1,[1]OUT_TransportEnergyCons!H$3:H$1000)</f>
        <v>3.0378690625150119E-2</v>
      </c>
      <c r="K1218" s="1" cm="1">
        <f t="array" ref="K1218">SUMPRODUCT(("T_C-PEV-GSL-S2"=[1]OUT_TransportEnergyCons!$A$3:$A$1000)*1,("var_fout"=[1]OUT_TransportEnergyCons!$B$3:$B$1000)*1,ISNUMBER(SEARCH("TPCAR",[1]OUT_TransportEnergyCons!$C$3:$C$1000))*1,[1]OUT_TransportEnergyCons!I$3:I$1000)</f>
        <v>8.2088115783086908E-3</v>
      </c>
    </row>
    <row r="1219" spans="2:11" x14ac:dyDescent="0.35">
      <c r="B1219" s="5" t="str">
        <f t="shared" si="771"/>
        <v>SPS2</v>
      </c>
      <c r="C1219" s="5" t="str">
        <f t="shared" si="774"/>
        <v>CH</v>
      </c>
      <c r="D1219" t="s">
        <v>1141</v>
      </c>
      <c r="E1219" t="str">
        <f t="shared" si="773"/>
        <v>billion km/yr.</v>
      </c>
      <c r="F1219" s="1" cm="1">
        <f t="array" ref="F1219">SUMPRODUCT(("T_C-PEV-GSL-S3"=[1]OUT_TransportEnergyCons!$A$3:$A$1000)*1,("var_fout"=[1]OUT_TransportEnergyCons!$B$3:$B$1000)*1,ISNUMBER(SEARCH("TPCAR",[1]OUT_TransportEnergyCons!$C$3:$C$1000))*1,[1]OUT_TransportEnergyCons!D$3:D$1000)</f>
        <v>4.2163164452292831E-2</v>
      </c>
      <c r="G1219" s="1" cm="1">
        <f t="array" ref="G1219">SUMPRODUCT(("T_C-PEV-GSL-S3"=[1]OUT_TransportEnergyCons!$A$3:$A$1000)*1,("var_fout"=[1]OUT_TransportEnergyCons!$B$3:$B$1000)*1,ISNUMBER(SEARCH("TPCAR",[1]OUT_TransportEnergyCons!$C$3:$C$1000))*1,[1]OUT_TransportEnergyCons!E$3:E$1000)</f>
        <v>0.64163177262757765</v>
      </c>
      <c r="H1219" s="1" cm="1">
        <f t="array" ref="H1219">SUMPRODUCT(("T_C-PEV-GSL-S3"=[1]OUT_TransportEnergyCons!$A$3:$A$1000)*1,("var_fout"=[1]OUT_TransportEnergyCons!$B$3:$B$1000)*1,ISNUMBER(SEARCH("TPCAR",[1]OUT_TransportEnergyCons!$C$3:$C$1000))*1,[1]OUT_TransportEnergyCons!F$3:F$1000)</f>
        <v>1.179940990445542</v>
      </c>
      <c r="I1219" s="1" cm="1">
        <f t="array" ref="I1219">SUMPRODUCT(("T_C-PEV-GSL-S3"=[1]OUT_TransportEnergyCons!$A$3:$A$1000)*1,("var_fout"=[1]OUT_TransportEnergyCons!$B$3:$B$1000)*1,ISNUMBER(SEARCH("TPCAR",[1]OUT_TransportEnergyCons!$C$3:$C$1000))*1,[1]OUT_TransportEnergyCons!G$3:G$1000)</f>
        <v>5.2486022556716572</v>
      </c>
      <c r="J1219" s="1" cm="1">
        <f t="array" ref="J1219">SUMPRODUCT(("T_C-PEV-GSL-S3"=[1]OUT_TransportEnergyCons!$A$3:$A$1000)*1,("var_fout"=[1]OUT_TransportEnergyCons!$B$3:$B$1000)*1,ISNUMBER(SEARCH("TPCAR",[1]OUT_TransportEnergyCons!$C$3:$C$1000))*1,[1]OUT_TransportEnergyCons!H$3:H$1000)</f>
        <v>6.8968348594912037</v>
      </c>
      <c r="K1219" s="1" cm="1">
        <f t="array" ref="K1219">SUMPRODUCT(("T_C-PEV-GSL-S3"=[1]OUT_TransportEnergyCons!$A$3:$A$1000)*1,("var_fout"=[1]OUT_TransportEnergyCons!$B$3:$B$1000)*1,ISNUMBER(SEARCH("TPCAR",[1]OUT_TransportEnergyCons!$C$3:$C$1000))*1,[1]OUT_TransportEnergyCons!I$3:I$1000)</f>
        <v>1.0613267877862935</v>
      </c>
    </row>
    <row r="1220" spans="2:11" x14ac:dyDescent="0.35">
      <c r="B1220" s="5" t="str">
        <f t="shared" si="771"/>
        <v>SPS2</v>
      </c>
      <c r="C1220" s="5" t="str">
        <f t="shared" si="774"/>
        <v>CH</v>
      </c>
      <c r="D1220" t="s">
        <v>1142</v>
      </c>
      <c r="E1220" t="str">
        <f t="shared" si="773"/>
        <v>billion km/yr.</v>
      </c>
      <c r="F1220" s="1" cm="1">
        <f t="array" ref="F1220">SUMPRODUCT(("T_C-PEV-GSL-S4"=[1]OUT_TransportEnergyCons!$A$3:$A$1000)*1,("var_fout"=[1]OUT_TransportEnergyCons!$B$3:$B$1000)*1,ISNUMBER(SEARCH("TPCAR",[1]OUT_TransportEnergyCons!$C$3:$C$1000))*1,[1]OUT_TransportEnergyCons!D$3:D$1000)</f>
        <v>6.5927687022287934E-2</v>
      </c>
      <c r="G1220" s="1" cm="1">
        <f t="array" ref="G1220">SUMPRODUCT(("T_C-PEV-GSL-S4"=[1]OUT_TransportEnergyCons!$A$3:$A$1000)*1,("var_fout"=[1]OUT_TransportEnergyCons!$B$3:$B$1000)*1,ISNUMBER(SEARCH("TPCAR",[1]OUT_TransportEnergyCons!$C$3:$C$1000))*1,[1]OUT_TransportEnergyCons!E$3:E$1000)</f>
        <v>0.16501749849552283</v>
      </c>
      <c r="H1220" s="1" cm="1">
        <f t="array" ref="H1220">SUMPRODUCT(("T_C-PEV-GSL-S4"=[1]OUT_TransportEnergyCons!$A$3:$A$1000)*1,("var_fout"=[1]OUT_TransportEnergyCons!$B$3:$B$1000)*1,ISNUMBER(SEARCH("TPCAR",[1]OUT_TransportEnergyCons!$C$3:$C$1000))*1,[1]OUT_TransportEnergyCons!F$3:F$1000)</f>
        <v>0.16486463047451796</v>
      </c>
      <c r="I1220" s="1" cm="1">
        <f t="array" ref="I1220">SUMPRODUCT(("T_C-PEV-GSL-S4"=[1]OUT_TransportEnergyCons!$A$3:$A$1000)*1,("var_fout"=[1]OUT_TransportEnergyCons!$B$3:$B$1000)*1,ISNUMBER(SEARCH("TPCAR",[1]OUT_TransportEnergyCons!$C$3:$C$1000))*1,[1]OUT_TransportEnergyCons!G$3:G$1000)</f>
        <v>0.1427460903811035</v>
      </c>
      <c r="J1220" s="1" cm="1">
        <f t="array" ref="J1220">SUMPRODUCT(("T_C-PEV-GSL-S4"=[1]OUT_TransportEnergyCons!$A$3:$A$1000)*1,("var_fout"=[1]OUT_TransportEnergyCons!$B$3:$B$1000)*1,ISNUMBER(SEARCH("TPCAR",[1]OUT_TransportEnergyCons!$C$3:$C$1000))*1,[1]OUT_TransportEnergyCons!H$3:H$1000)</f>
        <v>2.1353868409450302E-2</v>
      </c>
      <c r="K1220" s="1" cm="1">
        <f t="array" ref="K1220">SUMPRODUCT(("T_C-PEV-GSL-S4"=[1]OUT_TransportEnergyCons!$A$3:$A$1000)*1,("var_fout"=[1]OUT_TransportEnergyCons!$B$3:$B$1000)*1,ISNUMBER(SEARCH("TPCAR",[1]OUT_TransportEnergyCons!$C$3:$C$1000))*1,[1]OUT_TransportEnergyCons!I$3:I$1000)</f>
        <v>5.247492027379487E-3</v>
      </c>
    </row>
    <row r="1221" spans="2:11" x14ac:dyDescent="0.35">
      <c r="B1221" s="5" t="str">
        <f t="shared" si="771"/>
        <v>SPS2</v>
      </c>
      <c r="C1221" s="5" t="str">
        <f t="shared" si="774"/>
        <v>CH</v>
      </c>
      <c r="D1221" t="s">
        <v>1143</v>
      </c>
      <c r="E1221" t="str">
        <f t="shared" si="773"/>
        <v>billion km/yr.</v>
      </c>
      <c r="F1221" s="1" cm="1">
        <f t="array" ref="F1221">SUMPRODUCT(("T_C-PEV-DSL-S1"=[1]OUT_TransportEnergyCons!$A$3:$A$1000)*1,("var_fout"=[1]OUT_TransportEnergyCons!$B$3:$B$1000)*1,ISNUMBER(SEARCH("TPCAR",[1]OUT_TransportEnergyCons!$C$3:$C$1000))*1,[1]OUT_TransportEnergyCons!D$3:D$1000)</f>
        <v>1.4073192013850023E-5</v>
      </c>
      <c r="G1221" s="1" cm="1">
        <f t="array" ref="G1221">SUMPRODUCT(("T_C-PEV-DSL-S1"=[1]OUT_TransportEnergyCons!$A$3:$A$1000)*1,("var_fout"=[1]OUT_TransportEnergyCons!$B$3:$B$1000)*1,ISNUMBER(SEARCH("TPCAR",[1]OUT_TransportEnergyCons!$C$3:$C$1000))*1,[1]OUT_TransportEnergyCons!E$3:E$1000)</f>
        <v>1.7915409627548104E-3</v>
      </c>
      <c r="H1221" s="1" cm="1">
        <f t="array" ref="H1221">SUMPRODUCT(("T_C-PEV-DSL-S1"=[1]OUT_TransportEnergyCons!$A$3:$A$1000)*1,("var_fout"=[1]OUT_TransportEnergyCons!$B$3:$B$1000)*1,ISNUMBER(SEARCH("TPCAR",[1]OUT_TransportEnergyCons!$C$3:$C$1000))*1,[1]OUT_TransportEnergyCons!F$3:F$1000)</f>
        <v>2.3176707283426618E-3</v>
      </c>
      <c r="I1221" s="1" cm="1">
        <f t="array" ref="I1221">SUMPRODUCT(("T_C-PEV-DSL-S1"=[1]OUT_TransportEnergyCons!$A$3:$A$1000)*1,("var_fout"=[1]OUT_TransportEnergyCons!$B$3:$B$1000)*1,ISNUMBER(SEARCH("TPCAR",[1]OUT_TransportEnergyCons!$C$3:$C$1000))*1,[1]OUT_TransportEnergyCons!G$3:G$1000)</f>
        <v>8.9342967622856317E-3</v>
      </c>
      <c r="J1221" s="1" cm="1">
        <f t="array" ref="J1221">SUMPRODUCT(("T_C-PEV-DSL-S1"=[1]OUT_TransportEnergyCons!$A$3:$A$1000)*1,("var_fout"=[1]OUT_TransportEnergyCons!$B$3:$B$1000)*1,ISNUMBER(SEARCH("TPCAR",[1]OUT_TransportEnergyCons!$C$3:$C$1000))*1,[1]OUT_TransportEnergyCons!H$3:H$1000)</f>
        <v>6.6275862591594929E-3</v>
      </c>
      <c r="K1221" s="1" cm="1">
        <f t="array" ref="K1221">SUMPRODUCT(("T_C-PEV-DSL-S1"=[1]OUT_TransportEnergyCons!$A$3:$A$1000)*1,("var_fout"=[1]OUT_TransportEnergyCons!$B$3:$B$1000)*1,ISNUMBER(SEARCH("TPCAR",[1]OUT_TransportEnergyCons!$C$3:$C$1000))*1,[1]OUT_TransportEnergyCons!I$3:I$1000)</f>
        <v>1.108092662343906E-3</v>
      </c>
    </row>
    <row r="1222" spans="2:11" x14ac:dyDescent="0.35">
      <c r="B1222" s="5" t="str">
        <f t="shared" si="771"/>
        <v>SPS2</v>
      </c>
      <c r="C1222" s="5" t="str">
        <f t="shared" si="774"/>
        <v>CH</v>
      </c>
      <c r="D1222" t="s">
        <v>1144</v>
      </c>
      <c r="E1222" t="str">
        <f t="shared" si="773"/>
        <v>billion km/yr.</v>
      </c>
      <c r="F1222" s="1" cm="1">
        <f t="array" ref="F1222">SUMPRODUCT(("T_C-PEV-DSL-S2"=[1]OUT_TransportEnergyCons!$A$3:$A$1000)*1,("var_fout"=[1]OUT_TransportEnergyCons!$B$3:$B$1000)*1,ISNUMBER(SEARCH("TPCAR",[1]OUT_TransportEnergyCons!$C$3:$C$1000))*1,[1]OUT_TransportEnergyCons!D$3:D$1000)</f>
        <v>6.7615513026030014E-6</v>
      </c>
      <c r="G1222" s="1" cm="1">
        <f t="array" ref="G1222">SUMPRODUCT(("T_C-PEV-DSL-S2"=[1]OUT_TransportEnergyCons!$A$3:$A$1000)*1,("var_fout"=[1]OUT_TransportEnergyCons!$B$3:$B$1000)*1,ISNUMBER(SEARCH("TPCAR",[1]OUT_TransportEnergyCons!$C$3:$C$1000))*1,[1]OUT_TransportEnergyCons!E$3:E$1000)</f>
        <v>1.4608189972240128E-3</v>
      </c>
      <c r="H1222" s="1" cm="1">
        <f t="array" ref="H1222">SUMPRODUCT(("T_C-PEV-DSL-S2"=[1]OUT_TransportEnergyCons!$A$3:$A$1000)*1,("var_fout"=[1]OUT_TransportEnergyCons!$B$3:$B$1000)*1,ISNUMBER(SEARCH("TPCAR",[1]OUT_TransportEnergyCons!$C$3:$C$1000))*1,[1]OUT_TransportEnergyCons!F$3:F$1000)</f>
        <v>4.273229622317405E-3</v>
      </c>
      <c r="I1222" s="1" cm="1">
        <f t="array" ref="I1222">SUMPRODUCT(("T_C-PEV-DSL-S2"=[1]OUT_TransportEnergyCons!$A$3:$A$1000)*1,("var_fout"=[1]OUT_TransportEnergyCons!$B$3:$B$1000)*1,ISNUMBER(SEARCH("TPCAR",[1]OUT_TransportEnergyCons!$C$3:$C$1000))*1,[1]OUT_TransportEnergyCons!G$3:G$1000)</f>
        <v>1.1821276284827984E-2</v>
      </c>
      <c r="J1222" s="1" cm="1">
        <f t="array" ref="J1222">SUMPRODUCT(("T_C-PEV-DSL-S2"=[1]OUT_TransportEnergyCons!$A$3:$A$1000)*1,("var_fout"=[1]OUT_TransportEnergyCons!$B$3:$B$1000)*1,ISNUMBER(SEARCH("TPCAR",[1]OUT_TransportEnergyCons!$C$3:$C$1000))*1,[1]OUT_TransportEnergyCons!H$3:H$1000)</f>
        <v>2.9196251954767893E-2</v>
      </c>
      <c r="K1222" s="1" cm="1">
        <f t="array" ref="K1222">SUMPRODUCT(("T_C-PEV-DSL-S2"=[1]OUT_TransportEnergyCons!$A$3:$A$1000)*1,("var_fout"=[1]OUT_TransportEnergyCons!$B$3:$B$1000)*1,ISNUMBER(SEARCH("TPCAR",[1]OUT_TransportEnergyCons!$C$3:$C$1000))*1,[1]OUT_TransportEnergyCons!I$3:I$1000)</f>
        <v>7.7972533813544546E-3</v>
      </c>
    </row>
    <row r="1223" spans="2:11" x14ac:dyDescent="0.35">
      <c r="B1223" s="5" t="str">
        <f t="shared" si="771"/>
        <v>SPS2</v>
      </c>
      <c r="C1223" s="5" t="str">
        <f t="shared" si="774"/>
        <v>CH</v>
      </c>
      <c r="D1223" t="s">
        <v>1145</v>
      </c>
      <c r="E1223" t="str">
        <f t="shared" si="773"/>
        <v>billion km/yr.</v>
      </c>
      <c r="F1223" s="1" cm="1">
        <f t="array" ref="F1223">SUMPRODUCT(("T_C-PEV-DSL-S3"=[1]OUT_TransportEnergyCons!$A$3:$A$1000)*1,("var_fout"=[1]OUT_TransportEnergyCons!$B$3:$B$1000)*1,ISNUMBER(SEARCH("TPCAR",[1]OUT_TransportEnergyCons!$C$3:$C$1000))*1,[1]OUT_TransportEnergyCons!D$3:D$1000)</f>
        <v>7.4945721249451678E-5</v>
      </c>
      <c r="G1223" s="1" cm="1">
        <f t="array" ref="G1223">SUMPRODUCT(("T_C-PEV-DSL-S3"=[1]OUT_TransportEnergyCons!$A$3:$A$1000)*1,("var_fout"=[1]OUT_TransportEnergyCons!$B$3:$B$1000)*1,ISNUMBER(SEARCH("TPCAR",[1]OUT_TransportEnergyCons!$C$3:$C$1000))*1,[1]OUT_TransportEnergyCons!E$3:E$1000)</f>
        <v>2.1994710768519127E-2</v>
      </c>
      <c r="H1223" s="1" cm="1">
        <f t="array" ref="H1223">SUMPRODUCT(("T_C-PEV-DSL-S3"=[1]OUT_TransportEnergyCons!$A$3:$A$1000)*1,("var_fout"=[1]OUT_TransportEnergyCons!$B$3:$B$1000)*1,ISNUMBER(SEARCH("TPCAR",[1]OUT_TransportEnergyCons!$C$3:$C$1000))*1,[1]OUT_TransportEnergyCons!F$3:F$1000)</f>
        <v>0.96365959319640737</v>
      </c>
      <c r="I1223" s="1" cm="1">
        <f t="array" ref="I1223">SUMPRODUCT(("T_C-PEV-DSL-S3"=[1]OUT_TransportEnergyCons!$A$3:$A$1000)*1,("var_fout"=[1]OUT_TransportEnergyCons!$B$3:$B$1000)*1,ISNUMBER(SEARCH("TPCAR",[1]OUT_TransportEnergyCons!$C$3:$C$1000))*1,[1]OUT_TransportEnergyCons!G$3:G$1000)</f>
        <v>3.7804437195335749</v>
      </c>
      <c r="J1223" s="1" cm="1">
        <f t="array" ref="J1223">SUMPRODUCT(("T_C-PEV-DSL-S3"=[1]OUT_TransportEnergyCons!$A$3:$A$1000)*1,("var_fout"=[1]OUT_TransportEnergyCons!$B$3:$B$1000)*1,ISNUMBER(SEARCH("TPCAR",[1]OUT_TransportEnergyCons!$C$3:$C$1000))*1,[1]OUT_TransportEnergyCons!H$3:H$1000)</f>
        <v>4.8282389439630737</v>
      </c>
      <c r="K1223" s="1" cm="1">
        <f t="array" ref="K1223">SUMPRODUCT(("T_C-PEV-DSL-S3"=[1]OUT_TransportEnergyCons!$A$3:$A$1000)*1,("var_fout"=[1]OUT_TransportEnergyCons!$B$3:$B$1000)*1,ISNUMBER(SEARCH("TPCAR",[1]OUT_TransportEnergyCons!$C$3:$C$1000))*1,[1]OUT_TransportEnergyCons!I$3:I$1000)</f>
        <v>0.73710217003468304</v>
      </c>
    </row>
    <row r="1224" spans="2:11" x14ac:dyDescent="0.35">
      <c r="B1224" s="5" t="str">
        <f t="shared" si="771"/>
        <v>SPS2</v>
      </c>
      <c r="C1224" s="5" t="str">
        <f t="shared" si="774"/>
        <v>CH</v>
      </c>
      <c r="D1224" t="s">
        <v>1146</v>
      </c>
      <c r="E1224" t="str">
        <f t="shared" si="773"/>
        <v>billion km/yr.</v>
      </c>
      <c r="F1224" s="1" cm="1">
        <f t="array" ref="F1224">SUMPRODUCT(("T_C-PEV-DSL-S4"=[1]OUT_TransportEnergyCons!$A$3:$A$1000)*1,("var_fout"=[1]OUT_TransportEnergyCons!$B$3:$B$1000)*1,ISNUMBER(SEARCH("TPCAR",[1]OUT_TransportEnergyCons!$C$3:$C$1000))*1,[1]OUT_TransportEnergyCons!D$3:D$1000)</f>
        <v>2.9992702789227005E-3</v>
      </c>
      <c r="G1224" s="1" cm="1">
        <f t="array" ref="G1224">SUMPRODUCT(("T_C-PEV-DSL-S4"=[1]OUT_TransportEnergyCons!$A$3:$A$1000)*1,("var_fout"=[1]OUT_TransportEnergyCons!$B$3:$B$1000)*1,ISNUMBER(SEARCH("TPCAR",[1]OUT_TransportEnergyCons!$C$3:$C$1000))*1,[1]OUT_TransportEnergyCons!E$3:E$1000)</f>
        <v>1.4714435797547434E-2</v>
      </c>
      <c r="H1224" s="1" cm="1">
        <f t="array" ref="H1224">SUMPRODUCT(("T_C-PEV-DSL-S4"=[1]OUT_TransportEnergyCons!$A$3:$A$1000)*1,("var_fout"=[1]OUT_TransportEnergyCons!$B$3:$B$1000)*1,ISNUMBER(SEARCH("TPCAR",[1]OUT_TransportEnergyCons!$C$3:$C$1000))*1,[1]OUT_TransportEnergyCons!F$3:F$1000)</f>
        <v>2.2314397953060276E-2</v>
      </c>
      <c r="I1224" s="1" cm="1">
        <f t="array" ref="I1224">SUMPRODUCT(("T_C-PEV-DSL-S4"=[1]OUT_TransportEnergyCons!$A$3:$A$1000)*1,("var_fout"=[1]OUT_TransportEnergyCons!$B$3:$B$1000)*1,ISNUMBER(SEARCH("TPCAR",[1]OUT_TransportEnergyCons!$C$3:$C$1000))*1,[1]OUT_TransportEnergyCons!G$3:G$1000)</f>
        <v>2.8578202793959527E-2</v>
      </c>
      <c r="J1224" s="1" cm="1">
        <f t="array" ref="J1224">SUMPRODUCT(("T_C-PEV-DSL-S4"=[1]OUT_TransportEnergyCons!$A$3:$A$1000)*1,("var_fout"=[1]OUT_TransportEnergyCons!$B$3:$B$1000)*1,ISNUMBER(SEARCH("TPCAR",[1]OUT_TransportEnergyCons!$C$3:$C$1000))*1,[1]OUT_TransportEnergyCons!H$3:H$1000)</f>
        <v>2.0328005712320688E-2</v>
      </c>
      <c r="K1224" s="1" cm="1">
        <f t="array" ref="K1224">SUMPRODUCT(("T_C-PEV-DSL-S4"=[1]OUT_TransportEnergyCons!$A$3:$A$1000)*1,("var_fout"=[1]OUT_TransportEnergyCons!$B$3:$B$1000)*1,ISNUMBER(SEARCH("TPCAR",[1]OUT_TransportEnergyCons!$C$3:$C$1000))*1,[1]OUT_TransportEnergyCons!I$3:I$1000)</f>
        <v>4.8923150624651411E-3</v>
      </c>
    </row>
    <row r="1225" spans="2:11" x14ac:dyDescent="0.35">
      <c r="B1225" s="5" t="str">
        <f t="shared" si="771"/>
        <v>SPS2</v>
      </c>
      <c r="C1225" s="5" t="str">
        <f t="shared" si="774"/>
        <v>CH</v>
      </c>
      <c r="D1225" t="s">
        <v>1147</v>
      </c>
      <c r="E1225" t="str">
        <f t="shared" si="773"/>
        <v>billion km/yr.</v>
      </c>
      <c r="F1225" s="1" cm="1">
        <f t="array" ref="F1225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5" s="1" cm="1">
        <f t="array" ref="G1225">SUMPRODUCT(("T_C-FC-H2O-S1"=[1]OUT_TransportEnergyCons!$A$3:$A$1000)*1,("var_fout"=[1]OUT_TransportEnergyCons!$B$3:$B$1000)*1,ISNUMBER(SEARCH("TPCAR",[1]OUT_TransportEnergyCons!$C$3:$C$1000))*1,[1]OUT_TransportEnergyCons!E$3:E$1000)</f>
        <v>8.2073032862360699E-5</v>
      </c>
      <c r="H1225" s="1" cm="1">
        <f t="array" ref="H1225">SUMPRODUCT(("T_C-FC-H2O-S1"=[1]OUT_TransportEnergyCons!$A$3:$A$1000)*1,("var_fout"=[1]OUT_TransportEnergyCons!$B$3:$B$1000)*1,ISNUMBER(SEARCH("TPCAR",[1]OUT_TransportEnergyCons!$C$3:$C$1000))*1,[1]OUT_TransportEnergyCons!F$3:F$1000)</f>
        <v>1.0051250172391697E-4</v>
      </c>
      <c r="I1225" s="1" cm="1">
        <f t="array" ref="I1225">SUMPRODUCT(("T_C-FC-H2O-S1"=[1]OUT_TransportEnergyCons!$A$3:$A$1000)*1,("var_fout"=[1]OUT_TransportEnergyCons!$B$3:$B$1000)*1,ISNUMBER(SEARCH("TPCAR",[1]OUT_TransportEnergyCons!$C$3:$C$1000))*1,[1]OUT_TransportEnergyCons!G$3:G$1000)</f>
        <v>3.4327824116995456E-5</v>
      </c>
      <c r="J1225" s="1" cm="1">
        <f t="array" ref="J1225">SUMPRODUCT(("T_C-FC-H2O-S1"=[1]OUT_TransportEnergyCons!$A$3:$A$1000)*1,("var_fout"=[1]OUT_TransportEnergyCons!$B$3:$B$1000)*1,ISNUMBER(SEARCH("TPCAR",[1]OUT_TransportEnergyCons!$C$3:$C$1000))*1,[1]OUT_TransportEnergyCons!H$3:H$1000)</f>
        <v>4.7218540016637365E-5</v>
      </c>
      <c r="K1225" s="1" cm="1">
        <f t="array" ref="K1225">SUMPRODUCT(("T_C-FC-H2O-S1"=[1]OUT_TransportEnergyCons!$A$3:$A$1000)*1,("var_fout"=[1]OUT_TransportEnergyCons!$B$3:$B$1000)*1,ISNUMBER(SEARCH("TPCAR",[1]OUT_TransportEnergyCons!$C$3:$C$1000))*1,[1]OUT_TransportEnergyCons!I$3:I$1000)</f>
        <v>4.0758177953416039E-5</v>
      </c>
    </row>
    <row r="1226" spans="2:11" x14ac:dyDescent="0.35">
      <c r="B1226" s="5" t="str">
        <f t="shared" si="771"/>
        <v>SPS2</v>
      </c>
      <c r="C1226" s="5" t="str">
        <f t="shared" si="774"/>
        <v>CH</v>
      </c>
      <c r="D1226" t="s">
        <v>1148</v>
      </c>
      <c r="E1226" t="str">
        <f t="shared" si="773"/>
        <v>billion km/yr.</v>
      </c>
      <c r="F1226" s="1" cm="1">
        <f t="array" ref="F1226">SUMPRODUCT(("T_C-FC-H2O-S2"=[1]OUT_TransportEnergyCons!$A$3:$A$1000)*1,("var_fout"=[1]OUT_TransportEnergyCons!$B$3:$B$1000)*1,ISNUMBER(SEARCH("TPCAR",[1]OUT_TransportEnergyCons!$C$3:$C$1000))*1,[1]OUT_TransportEnergyCons!D$3:D$1000)</f>
        <v>8.5507069349966775E-5</v>
      </c>
      <c r="G1226" s="1" cm="1">
        <f t="array" ref="G1226">SUMPRODUCT(("T_C-FC-H2O-S2"=[1]OUT_TransportEnergyCons!$A$3:$A$1000)*1,("var_fout"=[1]OUT_TransportEnergyCons!$B$3:$B$1000)*1,ISNUMBER(SEARCH("TPCAR",[1]OUT_TransportEnergyCons!$C$3:$C$1000))*1,[1]OUT_TransportEnergyCons!E$3:E$1000)</f>
        <v>1.3522173476812746E-4</v>
      </c>
      <c r="H1226" s="1" cm="1">
        <f t="array" ref="H1226">SUMPRODUCT(("T_C-FC-H2O-S2"=[1]OUT_TransportEnergyCons!$A$3:$A$1000)*1,("var_fout"=[1]OUT_TransportEnergyCons!$B$3:$B$1000)*1,ISNUMBER(SEARCH("TPCAR",[1]OUT_TransportEnergyCons!$C$3:$C$1000))*1,[1]OUT_TransportEnergyCons!F$3:F$1000)</f>
        <v>1.7384470628831341E-4</v>
      </c>
      <c r="I1226" s="1" cm="1">
        <f t="array" ref="I1226">SUMPRODUCT(("T_C-FC-H2O-S2"=[1]OUT_TransportEnergyCons!$A$3:$A$1000)*1,("var_fout"=[1]OUT_TransportEnergyCons!$B$3:$B$1000)*1,ISNUMBER(SEARCH("TPCAR",[1]OUT_TransportEnergyCons!$C$3:$C$1000))*1,[1]OUT_TransportEnergyCons!G$3:G$1000)</f>
        <v>8.0537955587597622E-5</v>
      </c>
      <c r="J1226" s="1" cm="1">
        <f t="array" ref="J1226">SUMPRODUCT(("T_C-FC-H2O-S2"=[1]OUT_TransportEnergyCons!$A$3:$A$1000)*1,("var_fout"=[1]OUT_TransportEnergyCons!$B$3:$B$1000)*1,ISNUMBER(SEARCH("TPCAR",[1]OUT_TransportEnergyCons!$C$3:$C$1000))*1,[1]OUT_TransportEnergyCons!H$3:H$1000)</f>
        <v>6.4981993069381861E-5</v>
      </c>
      <c r="K1226" s="1" cm="1">
        <f t="array" ref="K1226">SUMPRODUCT(("T_C-FC-H2O-S2"=[1]OUT_TransportEnergyCons!$A$3:$A$1000)*1,("var_fout"=[1]OUT_TransportEnergyCons!$B$3:$B$1000)*1,ISNUMBER(SEARCH("TPCAR",[1]OUT_TransportEnergyCons!$C$3:$C$1000))*1,[1]OUT_TransportEnergyCons!I$3:I$1000)</f>
        <v>6.3817134023051841E-5</v>
      </c>
    </row>
    <row r="1227" spans="2:11" x14ac:dyDescent="0.35">
      <c r="B1227" s="5" t="str">
        <f t="shared" si="771"/>
        <v>SPS2</v>
      </c>
      <c r="C1227" s="5" t="str">
        <f t="shared" si="774"/>
        <v>CH</v>
      </c>
      <c r="D1227" t="s">
        <v>1149</v>
      </c>
      <c r="E1227" t="str">
        <f t="shared" si="773"/>
        <v>billion km/yr.</v>
      </c>
      <c r="F1227" s="1" cm="1">
        <f t="array" ref="F1227">SUMPRODUCT(("T_C-FC-H2O-S3"=[1]OUT_TransportEnergyCons!$A$3:$A$1000)*1,("var_fout"=[1]OUT_TransportEnergyCons!$B$3:$B$1000)*1,ISNUMBER(SEARCH("TPCAR",[1]OUT_TransportEnergyCons!$C$3:$C$1000))*1,[1]OUT_TransportEnergyCons!D$3:D$1000)</f>
        <v>6.9147264479688239E-4</v>
      </c>
      <c r="G1227" s="1" cm="1">
        <f t="array" ref="G1227">SUMPRODUCT(("T_C-FC-H2O-S3"=[1]OUT_TransportEnergyCons!$A$3:$A$1000)*1,("var_fout"=[1]OUT_TransportEnergyCons!$B$3:$B$1000)*1,ISNUMBER(SEARCH("TPCAR",[1]OUT_TransportEnergyCons!$C$3:$C$1000))*1,[1]OUT_TransportEnergyCons!E$3:E$1000)</f>
        <v>1.5522286062849217E-3</v>
      </c>
      <c r="H1227" s="1" cm="1">
        <f t="array" ref="H1227">SUMPRODUCT(("T_C-FC-H2O-S3"=[1]OUT_TransportEnergyCons!$A$3:$A$1000)*1,("var_fout"=[1]OUT_TransportEnergyCons!$B$3:$B$1000)*1,ISNUMBER(SEARCH("TPCAR",[1]OUT_TransportEnergyCons!$C$3:$C$1000))*1,[1]OUT_TransportEnergyCons!F$3:F$1000)</f>
        <v>1.4571022651965354E-3</v>
      </c>
      <c r="I1227" s="1" cm="1">
        <f t="array" ref="I1227">SUMPRODUCT(("T_C-FC-H2O-S3"=[1]OUT_TransportEnergyCons!$A$3:$A$1000)*1,("var_fout"=[1]OUT_TransportEnergyCons!$B$3:$B$1000)*1,ISNUMBER(SEARCH("TPCAR",[1]OUT_TransportEnergyCons!$C$3:$C$1000))*1,[1]OUT_TransportEnergyCons!G$3:G$1000)</f>
        <v>1.449210400237269E-4</v>
      </c>
      <c r="J1227" s="1" cm="1">
        <f t="array" ref="J1227">SUMPRODUCT(("T_C-FC-H2O-S3"=[1]OUT_TransportEnergyCons!$A$3:$A$1000)*1,("var_fout"=[1]OUT_TransportEnergyCons!$B$3:$B$1000)*1,ISNUMBER(SEARCH("TPCAR",[1]OUT_TransportEnergyCons!$C$3:$C$1000))*1,[1]OUT_TransportEnergyCons!H$3:H$1000)</f>
        <v>6.6419077064272771E-5</v>
      </c>
      <c r="K1227" s="1" cm="1">
        <f t="array" ref="K1227">SUMPRODUCT(("T_C-FC-H2O-S3"=[1]OUT_TransportEnergyCons!$A$3:$A$1000)*1,("var_fout"=[1]OUT_TransportEnergyCons!$B$3:$B$1000)*1,ISNUMBER(SEARCH("TPCAR",[1]OUT_TransportEnergyCons!$C$3:$C$1000))*1,[1]OUT_TransportEnergyCons!I$3:I$1000)</f>
        <v>7.1172083240307729E-5</v>
      </c>
    </row>
    <row r="1228" spans="2:11" x14ac:dyDescent="0.35">
      <c r="B1228" s="5" t="str">
        <f t="shared" si="771"/>
        <v>SPS2</v>
      </c>
      <c r="C1228" s="5" t="str">
        <f t="shared" si="774"/>
        <v>CH</v>
      </c>
      <c r="D1228" t="s">
        <v>1150</v>
      </c>
      <c r="E1228" t="str">
        <f t="shared" si="773"/>
        <v>billion km/yr.</v>
      </c>
      <c r="F1228" s="1" cm="1">
        <f t="array" ref="F1228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28" s="1" cm="1">
        <f t="array" ref="G1228">SUMPRODUCT(("T_C-FC-H2O-S4"=[1]OUT_TransportEnergyCons!$A$3:$A$1000)*1,("var_fout"=[1]OUT_TransportEnergyCons!$B$3:$B$1000)*1,ISNUMBER(SEARCH("TPCAR",[1]OUT_TransportEnergyCons!$C$3:$C$1000))*1,[1]OUT_TransportEnergyCons!E$3:E$1000)</f>
        <v>5.469284324744937E-5</v>
      </c>
      <c r="H1228" s="1" cm="1">
        <f t="array" ref="H1228">SUMPRODUCT(("T_C-FC-H2O-S4"=[1]OUT_TransportEnergyCons!$A$3:$A$1000)*1,("var_fout"=[1]OUT_TransportEnergyCons!$B$3:$B$1000)*1,ISNUMBER(SEARCH("TPCAR",[1]OUT_TransportEnergyCons!$C$3:$C$1000))*1,[1]OUT_TransportEnergyCons!F$3:F$1000)</f>
        <v>9.1565715526913105E-5</v>
      </c>
      <c r="I1228" s="1" cm="1">
        <f t="array" ref="I1228">SUMPRODUCT(("T_C-FC-H2O-S4"=[1]OUT_TransportEnergyCons!$A$3:$A$1000)*1,("var_fout"=[1]OUT_TransportEnergyCons!$B$3:$B$1000)*1,ISNUMBER(SEARCH("TPCAR",[1]OUT_TransportEnergyCons!$C$3:$C$1000))*1,[1]OUT_TransportEnergyCons!G$3:G$1000)</f>
        <v>5.5561937386697532E-5</v>
      </c>
      <c r="J1228" s="1" cm="1">
        <f t="array" ref="J1228">SUMPRODUCT(("T_C-FC-H2O-S4"=[1]OUT_TransportEnergyCons!$A$3:$A$1000)*1,("var_fout"=[1]OUT_TransportEnergyCons!$B$3:$B$1000)*1,ISNUMBER(SEARCH("TPCAR",[1]OUT_TransportEnergyCons!$C$3:$C$1000))*1,[1]OUT_TransportEnergyCons!H$3:H$1000)</f>
        <v>6.4272058486302821E-5</v>
      </c>
      <c r="K1228" s="1" cm="1">
        <f t="array" ref="K1228">SUMPRODUCT(("T_C-FC-H2O-S4"=[1]OUT_TransportEnergyCons!$A$3:$A$1000)*1,("var_fout"=[1]OUT_TransportEnergyCons!$B$3:$B$1000)*1,ISNUMBER(SEARCH("TPCAR",[1]OUT_TransportEnergyCons!$C$3:$C$1000))*1,[1]OUT_TransportEnergyCons!I$3:I$1000)</f>
        <v>6.8241351816393739E-5</v>
      </c>
    </row>
    <row r="1229" spans="2:11" x14ac:dyDescent="0.35">
      <c r="B1229" s="5" t="str">
        <f t="shared" si="771"/>
        <v>SPS2</v>
      </c>
      <c r="C1229" s="5" t="str">
        <f t="shared" si="774"/>
        <v>CH</v>
      </c>
      <c r="D1229" t="s">
        <v>1234</v>
      </c>
      <c r="E1229" t="str">
        <f t="shared" si="773"/>
        <v>billion km/yr.</v>
      </c>
      <c r="F1229" s="1" cm="1">
        <f t="array" ref="F1229">SUMPRODUCT(("T_C-HYBGSLEXT"=[1]OUT_TransportEnergyCons!$A$3:$A$1000)*1,("var_fout"=[1]OUT_TransportEnergyCons!$B$3:$B$1000)*1,ISNUMBER(SEARCH("TPCAR",[1]OUT_TransportEnergyCons!$C$3:$C$1000))*1,[1]OUT_TransportEnergyCons!D$3:D$1000)</f>
        <v>0.6192483797688193</v>
      </c>
      <c r="G1229" s="1" cm="1">
        <f t="array" ref="G1229">SUMPRODUCT(("T_C-HYBGSLEXT"=[1]OUT_TransportEnergyCons!$A$3:$A$1000)*1,("var_fout"=[1]OUT_TransportEnergyCons!$B$3:$B$1000)*1,ISNUMBER(SEARCH("TPCAR",[1]OUT_TransportEnergyCons!$C$3:$C$1000))*1,[1]OUT_TransportEnergyCons!E$3:E$1000)</f>
        <v>0.62769606084197582</v>
      </c>
      <c r="H1229" s="1" cm="1">
        <f t="array" ref="H1229">SUMPRODUCT(("T_C-HYBGSLEXT"=[1]OUT_TransportEnergyCons!$A$3:$A$1000)*1,("var_fout"=[1]OUT_TransportEnergyCons!$B$3:$B$1000)*1,ISNUMBER(SEARCH("TPCAR",[1]OUT_TransportEnergyCons!$C$3:$C$1000))*1,[1]OUT_TransportEnergyCons!F$3:F$1000)</f>
        <v>0.48282450168986957</v>
      </c>
      <c r="I1229" s="1" cm="1">
        <f t="array" ref="I1229">SUMPRODUCT(("T_C-HYBGSLEXT"=[1]OUT_TransportEnergyCons!$A$3:$A$1000)*1,("var_fout"=[1]OUT_TransportEnergyCons!$B$3:$B$1000)*1,ISNUMBER(SEARCH("TPCAR",[1]OUT_TransportEnergyCons!$C$3:$C$1000))*1,[1]OUT_TransportEnergyCons!G$3:G$1000)</f>
        <v>0.24142460990548223</v>
      </c>
      <c r="J1229" s="1" cm="1">
        <f t="array" ref="J1229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29" s="1" cm="1">
        <f t="array" ref="K1229">SUMPRODUCT(("T_C-HYBGSLEXT"=[1]OUT_TransportEnergyCons!$A$3:$A$1000)*1,("var_fout"=[1]OUT_TransportEnergyCons!$B$3:$B$1000)*1,ISNUMBER(SEARCH("TPCAR",[1]OUT_TransportEnergyCons!$C$3:$C$1000))*1,[1]OUT_TransportEnergyCons!I$3:I$1000)</f>
        <v>0</v>
      </c>
    </row>
    <row r="1230" spans="2:11" x14ac:dyDescent="0.35">
      <c r="B1230" s="5" t="str">
        <f t="shared" si="771"/>
        <v>SPS2</v>
      </c>
      <c r="C1230" s="5" t="str">
        <f t="shared" si="774"/>
        <v>CH</v>
      </c>
      <c r="D1230" t="s">
        <v>1151</v>
      </c>
      <c r="E1230" t="str">
        <f t="shared" si="773"/>
        <v>billion km/yr.</v>
      </c>
      <c r="F1230" s="1" cm="1">
        <f t="array" ref="F1230">SUMPRODUCT(("T_C-HY-GSL-S1"=[1]OUT_TransportEnergyCons!$A$3:$A$1000)*1,("var_fout"=[1]OUT_TransportEnergyCons!$B$3:$B$1000)*1,ISNUMBER(SEARCH("TPCAR",[1]OUT_TransportEnergyCons!$C$3:$C$1000))*1,[1]OUT_TransportEnergyCons!D$3:D$1000)</f>
        <v>4.8003954100105065E-2</v>
      </c>
      <c r="G1230" s="1" cm="1">
        <f t="array" ref="G1230">SUMPRODUCT(("T_C-HY-GSL-S1"=[1]OUT_TransportEnergyCons!$A$3:$A$1000)*1,("var_fout"=[1]OUT_TransportEnergyCons!$B$3:$B$1000)*1,ISNUMBER(SEARCH("TPCAR",[1]OUT_TransportEnergyCons!$C$3:$C$1000))*1,[1]OUT_TransportEnergyCons!E$3:E$1000)</f>
        <v>6.5901228644990359E-2</v>
      </c>
      <c r="H1230" s="1" cm="1">
        <f t="array" ref="H1230">SUMPRODUCT(("T_C-HY-GSL-S1"=[1]OUT_TransportEnergyCons!$A$3:$A$1000)*1,("var_fout"=[1]OUT_TransportEnergyCons!$B$3:$B$1000)*1,ISNUMBER(SEARCH("TPCAR",[1]OUT_TransportEnergyCons!$C$3:$C$1000))*1,[1]OUT_TransportEnergyCons!F$3:F$1000)</f>
        <v>4.6860715811012185E-2</v>
      </c>
      <c r="I1230" s="1" cm="1">
        <f t="array" ref="I1230">SUMPRODUCT(("T_C-HY-GSL-S1"=[1]OUT_TransportEnergyCons!$A$3:$A$1000)*1,("var_fout"=[1]OUT_TransportEnergyCons!$B$3:$B$1000)*1,ISNUMBER(SEARCH("TPCAR",[1]OUT_TransportEnergyCons!$C$3:$C$1000))*1,[1]OUT_TransportEnergyCons!G$3:G$1000)</f>
        <v>3.8981216426023493E-2</v>
      </c>
      <c r="J1230" s="1" cm="1">
        <f t="array" ref="J1230">SUMPRODUCT(("T_C-HY-GSL-S1"=[1]OUT_TransportEnergyCons!$A$3:$A$1000)*1,("var_fout"=[1]OUT_TransportEnergyCons!$B$3:$B$1000)*1,ISNUMBER(SEARCH("TPCAR",[1]OUT_TransportEnergyCons!$C$3:$C$1000))*1,[1]OUT_TransportEnergyCons!H$3:H$1000)</f>
        <v>3.9660511441577423E-4</v>
      </c>
      <c r="K1230" s="1" cm="1">
        <f t="array" ref="K1230">SUMPRODUCT(("T_C-HY-GSL-S1"=[1]OUT_TransportEnergyCons!$A$3:$A$1000)*1,("var_fout"=[1]OUT_TransportEnergyCons!$B$3:$B$1000)*1,ISNUMBER(SEARCH("TPCAR",[1]OUT_TransportEnergyCons!$C$3:$C$1000))*1,[1]OUT_TransportEnergyCons!I$3:I$1000)</f>
        <v>0</v>
      </c>
    </row>
    <row r="1231" spans="2:11" x14ac:dyDescent="0.35">
      <c r="B1231" s="5" t="str">
        <f t="shared" si="771"/>
        <v>SPS2</v>
      </c>
      <c r="C1231" s="5" t="str">
        <f t="shared" si="774"/>
        <v>CH</v>
      </c>
      <c r="D1231" t="s">
        <v>1152</v>
      </c>
      <c r="E1231" t="str">
        <f t="shared" si="773"/>
        <v>billion km/yr.</v>
      </c>
      <c r="F1231" s="1" cm="1">
        <f t="array" ref="F1231">SUMPRODUCT(("T_C-HY-GSL-S2"=[1]OUT_TransportEnergyCons!$A$3:$A$1000)*1,("var_fout"=[1]OUT_TransportEnergyCons!$B$3:$B$1000)*1,ISNUMBER(SEARCH("TPCAR",[1]OUT_TransportEnergyCons!$C$3:$C$1000))*1,[1]OUT_TransportEnergyCons!D$3:D$1000)</f>
        <v>0.16668635106445306</v>
      </c>
      <c r="G1231" s="1" cm="1">
        <f t="array" ref="G1231">SUMPRODUCT(("T_C-HY-GSL-S2"=[1]OUT_TransportEnergyCons!$A$3:$A$1000)*1,("var_fout"=[1]OUT_TransportEnergyCons!$B$3:$B$1000)*1,ISNUMBER(SEARCH("TPCAR",[1]OUT_TransportEnergyCons!$C$3:$C$1000))*1,[1]OUT_TransportEnergyCons!E$3:E$1000)</f>
        <v>0.65109454219060225</v>
      </c>
      <c r="H1231" s="1" cm="1">
        <f t="array" ref="H1231">SUMPRODUCT(("T_C-HY-GSL-S2"=[1]OUT_TransportEnergyCons!$A$3:$A$1000)*1,("var_fout"=[1]OUT_TransportEnergyCons!$B$3:$B$1000)*1,ISNUMBER(SEARCH("TPCAR",[1]OUT_TransportEnergyCons!$C$3:$C$1000))*1,[1]OUT_TransportEnergyCons!F$3:F$1000)</f>
        <v>1.6925152830349273</v>
      </c>
      <c r="I1231" s="1" cm="1">
        <f t="array" ref="I1231">SUMPRODUCT(("T_C-HY-GSL-S2"=[1]OUT_TransportEnergyCons!$A$3:$A$1000)*1,("var_fout"=[1]OUT_TransportEnergyCons!$B$3:$B$1000)*1,ISNUMBER(SEARCH("TPCAR",[1]OUT_TransportEnergyCons!$C$3:$C$1000))*1,[1]OUT_TransportEnergyCons!G$3:G$1000)</f>
        <v>1.5212846352353924</v>
      </c>
      <c r="J1231" s="1" cm="1">
        <f t="array" ref="J1231">SUMPRODUCT(("T_C-HY-GSL-S2"=[1]OUT_TransportEnergyCons!$A$3:$A$1000)*1,("var_fout"=[1]OUT_TransportEnergyCons!$B$3:$B$1000)*1,ISNUMBER(SEARCH("TPCAR",[1]OUT_TransportEnergyCons!$C$3:$C$1000))*1,[1]OUT_TransportEnergyCons!H$3:H$1000)</f>
        <v>7.1595492595005944E-2</v>
      </c>
      <c r="K1231" s="1" cm="1">
        <f t="array" ref="K1231">SUMPRODUCT(("T_C-HY-GSL-S2"=[1]OUT_TransportEnergyCons!$A$3:$A$1000)*1,("var_fout"=[1]OUT_TransportEnergyCons!$B$3:$B$1000)*1,ISNUMBER(SEARCH("TPCAR",[1]OUT_TransportEnergyCons!$C$3:$C$1000))*1,[1]OUT_TransportEnergyCons!I$3:I$1000)</f>
        <v>0</v>
      </c>
    </row>
    <row r="1232" spans="2:11" x14ac:dyDescent="0.35">
      <c r="B1232" s="5" t="str">
        <f t="shared" si="771"/>
        <v>SPS2</v>
      </c>
      <c r="C1232" s="5" t="str">
        <f t="shared" si="774"/>
        <v>CH</v>
      </c>
      <c r="D1232" t="s">
        <v>1153</v>
      </c>
      <c r="E1232" t="str">
        <f t="shared" si="773"/>
        <v>billion km/yr.</v>
      </c>
      <c r="F1232" s="1" cm="1">
        <f t="array" ref="F1232">SUMPRODUCT(("T_C-HY-GSL-S3"=[1]OUT_TransportEnergyCons!$A$3:$A$1000)*1,("var_fout"=[1]OUT_TransportEnergyCons!$B$3:$B$1000)*1,ISNUMBER(SEARCH("TPCAR",[1]OUT_TransportEnergyCons!$C$3:$C$1000))*1,[1]OUT_TransportEnergyCons!D$3:D$1000)</f>
        <v>0.15199644448021016</v>
      </c>
      <c r="G1232" s="1" cm="1">
        <f t="array" ref="G1232">SUMPRODUCT(("T_C-HY-GSL-S3"=[1]OUT_TransportEnergyCons!$A$3:$A$1000)*1,("var_fout"=[1]OUT_TransportEnergyCons!$B$3:$B$1000)*1,ISNUMBER(SEARCH("TPCAR",[1]OUT_TransportEnergyCons!$C$3:$C$1000))*1,[1]OUT_TransportEnergyCons!E$3:E$1000)</f>
        <v>2.8515041094343903</v>
      </c>
      <c r="H1232" s="1" cm="1">
        <f t="array" ref="H1232">SUMPRODUCT(("T_C-HY-GSL-S3"=[1]OUT_TransportEnergyCons!$A$3:$A$1000)*1,("var_fout"=[1]OUT_TransportEnergyCons!$B$3:$B$1000)*1,ISNUMBER(SEARCH("TPCAR",[1]OUT_TransportEnergyCons!$C$3:$C$1000))*1,[1]OUT_TransportEnergyCons!F$3:F$1000)</f>
        <v>2.6954562402996642</v>
      </c>
      <c r="I1232" s="1" cm="1">
        <f t="array" ref="I1232">SUMPRODUCT(("T_C-HY-GSL-S3"=[1]OUT_TransportEnergyCons!$A$3:$A$1000)*1,("var_fout"=[1]OUT_TransportEnergyCons!$B$3:$B$1000)*1,ISNUMBER(SEARCH("TPCAR",[1]OUT_TransportEnergyCons!$C$3:$C$1000))*1,[1]OUT_TransportEnergyCons!G$3:G$1000)</f>
        <v>2.1711853301247608</v>
      </c>
      <c r="J1232" s="1" cm="1">
        <f t="array" ref="J1232">SUMPRODUCT(("T_C-HY-GSL-S3"=[1]OUT_TransportEnergyCons!$A$3:$A$1000)*1,("var_fout"=[1]OUT_TransportEnergyCons!$B$3:$B$1000)*1,ISNUMBER(SEARCH("TPCAR",[1]OUT_TransportEnergyCons!$C$3:$C$1000))*1,[1]OUT_TransportEnergyCons!H$3:H$1000)</f>
        <v>2.7240462238971525E-4</v>
      </c>
      <c r="K1232" s="1" cm="1">
        <f t="array" ref="K1232">SUMPRODUCT(("T_C-HY-GSL-S3"=[1]OUT_TransportEnergyCons!$A$3:$A$1000)*1,("var_fout"=[1]OUT_TransportEnergyCons!$B$3:$B$1000)*1,ISNUMBER(SEARCH("TPCAR",[1]OUT_TransportEnergyCons!$C$3:$C$1000))*1,[1]OUT_TransportEnergyCons!I$3:I$1000)</f>
        <v>0</v>
      </c>
    </row>
    <row r="1233" spans="2:11" x14ac:dyDescent="0.35">
      <c r="B1233" s="5" t="str">
        <f t="shared" si="771"/>
        <v>SPS2</v>
      </c>
      <c r="C1233" s="5" t="str">
        <f t="shared" si="774"/>
        <v>CH</v>
      </c>
      <c r="D1233" t="s">
        <v>1154</v>
      </c>
      <c r="E1233" t="str">
        <f t="shared" si="773"/>
        <v>billion km/yr.</v>
      </c>
      <c r="F1233" s="1" cm="1">
        <f t="array" ref="F1233">SUMPRODUCT(("T_C-HY-GSL-S4"=[1]OUT_TransportEnergyCons!$A$3:$A$1000)*1,("var_fout"=[1]OUT_TransportEnergyCons!$B$3:$B$1000)*1,ISNUMBER(SEARCH("TPCAR",[1]OUT_TransportEnergyCons!$C$3:$C$1000))*1,[1]OUT_TransportEnergyCons!D$3:D$1000)</f>
        <v>0.101682195483686</v>
      </c>
      <c r="G1233" s="1" cm="1">
        <f t="array" ref="G1233">SUMPRODUCT(("T_C-HY-GSL-S4"=[1]OUT_TransportEnergyCons!$A$3:$A$1000)*1,("var_fout"=[1]OUT_TransportEnergyCons!$B$3:$B$1000)*1,ISNUMBER(SEARCH("TPCAR",[1]OUT_TransportEnergyCons!$C$3:$C$1000))*1,[1]OUT_TransportEnergyCons!E$3:E$1000)</f>
        <v>0.18253125657549402</v>
      </c>
      <c r="H1233" s="1" cm="1">
        <f t="array" ref="H1233">SUMPRODUCT(("T_C-HY-GSL-S4"=[1]OUT_TransportEnergyCons!$A$3:$A$1000)*1,("var_fout"=[1]OUT_TransportEnergyCons!$B$3:$B$1000)*1,ISNUMBER(SEARCH("TPCAR",[1]OUT_TransportEnergyCons!$C$3:$C$1000))*1,[1]OUT_TransportEnergyCons!F$3:F$1000)</f>
        <v>0.17549272777415392</v>
      </c>
      <c r="I1233" s="1" cm="1">
        <f t="array" ref="I1233">SUMPRODUCT(("T_C-HY-GSL-S4"=[1]OUT_TransportEnergyCons!$A$3:$A$1000)*1,("var_fout"=[1]OUT_TransportEnergyCons!$B$3:$B$1000)*1,ISNUMBER(SEARCH("TPCAR",[1]OUT_TransportEnergyCons!$C$3:$C$1000))*1,[1]OUT_TransportEnergyCons!G$3:G$1000)</f>
        <v>0.14763528382590102</v>
      </c>
      <c r="J1233" s="1" cm="1">
        <f t="array" ref="J1233">SUMPRODUCT(("T_C-HY-GSL-S4"=[1]OUT_TransportEnergyCons!$A$3:$A$1000)*1,("var_fout"=[1]OUT_TransportEnergyCons!$B$3:$B$1000)*1,ISNUMBER(SEARCH("TPCAR",[1]OUT_TransportEnergyCons!$C$3:$C$1000))*1,[1]OUT_TransportEnergyCons!H$3:H$1000)</f>
        <v>2.3632636585866999E-4</v>
      </c>
      <c r="K1233" s="1" cm="1">
        <f t="array" ref="K1233">SUMPRODUCT(("T_C-HY-GSL-S4"=[1]OUT_TransportEnergyCons!$A$3:$A$1000)*1,("var_fout"=[1]OUT_TransportEnergyCons!$B$3:$B$1000)*1,ISNUMBER(SEARCH("TPCAR",[1]OUT_TransportEnergyCons!$C$3:$C$1000))*1,[1]OUT_TransportEnergyCons!I$3:I$1000)</f>
        <v>0</v>
      </c>
    </row>
    <row r="1234" spans="2:11" x14ac:dyDescent="0.35">
      <c r="B1234" s="5" t="str">
        <f t="shared" si="771"/>
        <v>SPS2</v>
      </c>
      <c r="C1234" s="5" t="str">
        <f t="shared" si="774"/>
        <v>CH</v>
      </c>
      <c r="D1234" t="s">
        <v>1155</v>
      </c>
      <c r="E1234" t="str">
        <f t="shared" si="773"/>
        <v>billion km/yr.</v>
      </c>
      <c r="F1234" s="1" cm="1">
        <f t="array" ref="F1234">SUMPRODUCT(("T_C-ICEGSLEXT"=[1]OUT_TransportEnergyCons!$A$3:$A$1000)*1,("var_fout"=[1]OUT_TransportEnergyCons!$B$3:$B$1000)*1,ISNUMBER(SEARCH("TPCAR",[1]OUT_TransportEnergyCons!$C$3:$C$1000))*1,[1]OUT_TransportEnergyCons!D$3:D$1000)</f>
        <v>18.302990007075156</v>
      </c>
      <c r="G1234" s="1" cm="1">
        <f t="array" ref="G1234">SUMPRODUCT(("T_C-ICEGSLEXT"=[1]OUT_TransportEnergyCons!$A$3:$A$1000)*1,("var_fout"=[1]OUT_TransportEnergyCons!$B$3:$B$1000)*1,ISNUMBER(SEARCH("TPCAR",[1]OUT_TransportEnergyCons!$C$3:$C$1000))*1,[1]OUT_TransportEnergyCons!E$3:E$1000)</f>
        <v>15.553100229935795</v>
      </c>
      <c r="H1234" s="1" cm="1">
        <f t="array" ref="H1234">SUMPRODUCT(("T_C-ICEGSLEXT"=[1]OUT_TransportEnergyCons!$A$3:$A$1000)*1,("var_fout"=[1]OUT_TransportEnergyCons!$B$3:$B$1000)*1,ISNUMBER(SEARCH("TPCAR",[1]OUT_TransportEnergyCons!$C$3:$C$1000))*1,[1]OUT_TransportEnergyCons!F$3:F$1000)</f>
        <v>14.160057912138276</v>
      </c>
      <c r="I1234" s="1" cm="1">
        <f t="array" ref="I1234">SUMPRODUCT(("T_C-ICEGSLEXT"=[1]OUT_TransportEnergyCons!$A$3:$A$1000)*1,("var_fout"=[1]OUT_TransportEnergyCons!$B$3:$B$1000)*1,ISNUMBER(SEARCH("TPCAR",[1]OUT_TransportEnergyCons!$C$3:$C$1000))*1,[1]OUT_TransportEnergyCons!G$3:G$1000)</f>
        <v>3.7854262625821686</v>
      </c>
      <c r="J1234" s="1" cm="1">
        <f t="array" ref="J1234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4" s="1" cm="1">
        <f t="array" ref="K1234">SUMPRODUCT(("T_C-ICEGSLEXT"=[1]OUT_TransportEnergyCons!$A$3:$A$1000)*1,("var_fout"=[1]OUT_TransportEnergyCons!$B$3:$B$1000)*1,ISNUMBER(SEARCH("TPCAR",[1]OUT_TransportEnergyCons!$C$3:$C$1000))*1,[1]OUT_TransportEnergyCons!I$3:I$1000)</f>
        <v>0</v>
      </c>
    </row>
    <row r="1235" spans="2:11" x14ac:dyDescent="0.35">
      <c r="B1235" s="5" t="str">
        <f t="shared" si="771"/>
        <v>SPS2</v>
      </c>
      <c r="C1235" s="5" t="str">
        <f t="shared" si="774"/>
        <v>CH</v>
      </c>
      <c r="D1235" t="s">
        <v>1156</v>
      </c>
      <c r="E1235" t="str">
        <f t="shared" si="773"/>
        <v>billion km/yr.</v>
      </c>
      <c r="F1235" s="1" cm="1">
        <f t="array" ref="F1235">SUMPRODUCT(("T_C-ICE-GSL-S1"=[1]OUT_TransportEnergyCons!$A$3:$A$1000)*1,("var_fout"=[1]OUT_TransportEnergyCons!$B$3:$B$1000)*1,ISNUMBER(SEARCH("TPCAR",[1]OUT_TransportEnergyCons!$C$3:$C$1000))*1,[1]OUT_TransportEnergyCons!D$3:D$1000)</f>
        <v>0.24578225524108657</v>
      </c>
      <c r="G1235" s="1" cm="1">
        <f t="array" ref="G1235">SUMPRODUCT(("T_C-ICE-GSL-S1"=[1]OUT_TransportEnergyCons!$A$3:$A$1000)*1,("var_fout"=[1]OUT_TransportEnergyCons!$B$3:$B$1000)*1,ISNUMBER(SEARCH("TPCAR",[1]OUT_TransportEnergyCons!$C$3:$C$1000))*1,[1]OUT_TransportEnergyCons!E$3:E$1000)</f>
        <v>0.37663611689523629</v>
      </c>
      <c r="H1235" s="1" cm="1">
        <f t="array" ref="H1235">SUMPRODUCT(("T_C-ICE-GSL-S1"=[1]OUT_TransportEnergyCons!$A$3:$A$1000)*1,("var_fout"=[1]OUT_TransportEnergyCons!$B$3:$B$1000)*1,ISNUMBER(SEARCH("TPCAR",[1]OUT_TransportEnergyCons!$C$3:$C$1000))*1,[1]OUT_TransportEnergyCons!F$3:F$1000)</f>
        <v>0.80387937510154162</v>
      </c>
      <c r="I1235" s="1" cm="1">
        <f t="array" ref="I1235">SUMPRODUCT(("T_C-ICE-GSL-S1"=[1]OUT_TransportEnergyCons!$A$3:$A$1000)*1,("var_fout"=[1]OUT_TransportEnergyCons!$B$3:$B$1000)*1,ISNUMBER(SEARCH("TPCAR",[1]OUT_TransportEnergyCons!$C$3:$C$1000))*1,[1]OUT_TransportEnergyCons!G$3:G$1000)</f>
        <v>0.67841964409181943</v>
      </c>
      <c r="J1235" s="1" cm="1">
        <f t="array" ref="J1235">SUMPRODUCT(("T_C-ICE-GSL-S1"=[1]OUT_TransportEnergyCons!$A$3:$A$1000)*1,("var_fout"=[1]OUT_TransportEnergyCons!$B$3:$B$1000)*1,ISNUMBER(SEARCH("TPCAR",[1]OUT_TransportEnergyCons!$C$3:$C$1000))*1,[1]OUT_TransportEnergyCons!H$3:H$1000)</f>
        <v>4.6152965140368749E-2</v>
      </c>
      <c r="K1235" s="1" cm="1">
        <f t="array" ref="K1235">SUMPRODUCT(("T_C-ICE-GSL-S1"=[1]OUT_TransportEnergyCons!$A$3:$A$1000)*1,("var_fout"=[1]OUT_TransportEnergyCons!$B$3:$B$1000)*1,ISNUMBER(SEARCH("TPCAR",[1]OUT_TransportEnergyCons!$C$3:$C$1000))*1,[1]OUT_TransportEnergyCons!I$3:I$1000)</f>
        <v>0</v>
      </c>
    </row>
    <row r="1236" spans="2:11" x14ac:dyDescent="0.35">
      <c r="B1236" s="5" t="str">
        <f t="shared" si="771"/>
        <v>SPS2</v>
      </c>
      <c r="C1236" s="5" t="str">
        <f t="shared" si="774"/>
        <v>CH</v>
      </c>
      <c r="D1236" t="s">
        <v>1157</v>
      </c>
      <c r="E1236" t="str">
        <f t="shared" si="773"/>
        <v>billion km/yr.</v>
      </c>
      <c r="F1236" s="1" cm="1">
        <f t="array" ref="F1236">SUMPRODUCT(("T_C-ICE-GSL-S2"=[1]OUT_TransportEnergyCons!$A$3:$A$1000)*1,("var_fout"=[1]OUT_TransportEnergyCons!$B$3:$B$1000)*1,ISNUMBER(SEARCH("TPCAR",[1]OUT_TransportEnergyCons!$C$3:$C$1000))*1,[1]OUT_TransportEnergyCons!D$3:D$1000)</f>
        <v>2.0626419347636977</v>
      </c>
      <c r="G1236" s="1" cm="1">
        <f t="array" ref="G1236">SUMPRODUCT(("T_C-ICE-GSL-S2"=[1]OUT_TransportEnergyCons!$A$3:$A$1000)*1,("var_fout"=[1]OUT_TransportEnergyCons!$B$3:$B$1000)*1,ISNUMBER(SEARCH("TPCAR",[1]OUT_TransportEnergyCons!$C$3:$C$1000))*1,[1]OUT_TransportEnergyCons!E$3:E$1000)</f>
        <v>3.209197932383776</v>
      </c>
      <c r="H1236" s="1" cm="1">
        <f t="array" ref="H1236">SUMPRODUCT(("T_C-ICE-GSL-S2"=[1]OUT_TransportEnergyCons!$A$3:$A$1000)*1,("var_fout"=[1]OUT_TransportEnergyCons!$B$3:$B$1000)*1,ISNUMBER(SEARCH("TPCAR",[1]OUT_TransportEnergyCons!$C$3:$C$1000))*1,[1]OUT_TransportEnergyCons!F$3:F$1000)</f>
        <v>3.4475062548795541</v>
      </c>
      <c r="I1236" s="1" cm="1">
        <f t="array" ref="I1236">SUMPRODUCT(("T_C-ICE-GSL-S2"=[1]OUT_TransportEnergyCons!$A$3:$A$1000)*1,("var_fout"=[1]OUT_TransportEnergyCons!$B$3:$B$1000)*1,ISNUMBER(SEARCH("TPCAR",[1]OUT_TransportEnergyCons!$C$3:$C$1000))*1,[1]OUT_TransportEnergyCons!G$3:G$1000)</f>
        <v>3.9157910879119218</v>
      </c>
      <c r="J1236" s="1" cm="1">
        <f t="array" ref="J1236">SUMPRODUCT(("T_C-ICE-GSL-S2"=[1]OUT_TransportEnergyCons!$A$3:$A$1000)*1,("var_fout"=[1]OUT_TransportEnergyCons!$B$3:$B$1000)*1,ISNUMBER(SEARCH("TPCAR",[1]OUT_TransportEnergyCons!$C$3:$C$1000))*1,[1]OUT_TransportEnergyCons!H$3:H$1000)</f>
        <v>9.8231115836976426E-2</v>
      </c>
      <c r="K1236" s="1" cm="1">
        <f t="array" ref="K1236">SUMPRODUCT(("T_C-ICE-GSL-S2"=[1]OUT_TransportEnergyCons!$A$3:$A$1000)*1,("var_fout"=[1]OUT_TransportEnergyCons!$B$3:$B$1000)*1,ISNUMBER(SEARCH("TPCAR",[1]OUT_TransportEnergyCons!$C$3:$C$1000))*1,[1]OUT_TransportEnergyCons!I$3:I$1000)</f>
        <v>0</v>
      </c>
    </row>
    <row r="1237" spans="2:11" x14ac:dyDescent="0.35">
      <c r="B1237" s="5" t="str">
        <f t="shared" si="771"/>
        <v>SPS2</v>
      </c>
      <c r="C1237" s="5" t="str">
        <f t="shared" si="774"/>
        <v>CH</v>
      </c>
      <c r="D1237" t="s">
        <v>1158</v>
      </c>
      <c r="E1237" t="str">
        <f t="shared" si="773"/>
        <v>billion km/yr.</v>
      </c>
      <c r="F1237" s="1" cm="1">
        <f t="array" ref="F1237">SUMPRODUCT(("T_C-ICE-GSL-S3"=[1]OUT_TransportEnergyCons!$A$3:$A$1000)*1,("var_fout"=[1]OUT_TransportEnergyCons!$B$3:$B$1000)*1,ISNUMBER(SEARCH("TPCAR",[1]OUT_TransportEnergyCons!$C$3:$C$1000))*1,[1]OUT_TransportEnergyCons!D$3:D$1000)</f>
        <v>1.8541559360408062</v>
      </c>
      <c r="G1237" s="1" cm="1">
        <f t="array" ref="G1237">SUMPRODUCT(("T_C-ICE-GSL-S3"=[1]OUT_TransportEnergyCons!$A$3:$A$1000)*1,("var_fout"=[1]OUT_TransportEnergyCons!$B$3:$B$1000)*1,ISNUMBER(SEARCH("TPCAR",[1]OUT_TransportEnergyCons!$C$3:$C$1000))*1,[1]OUT_TransportEnergyCons!E$3:E$1000)</f>
        <v>2.9645770734465633</v>
      </c>
      <c r="H1237" s="1" cm="1">
        <f t="array" ref="H1237">SUMPRODUCT(("T_C-ICE-GSL-S3"=[1]OUT_TransportEnergyCons!$A$3:$A$1000)*1,("var_fout"=[1]OUT_TransportEnergyCons!$B$3:$B$1000)*1,ISNUMBER(SEARCH("TPCAR",[1]OUT_TransportEnergyCons!$C$3:$C$1000))*1,[1]OUT_TransportEnergyCons!F$3:F$1000)</f>
        <v>2.9278385192392542</v>
      </c>
      <c r="I1237" s="1" cm="1">
        <f t="array" ref="I1237">SUMPRODUCT(("T_C-ICE-GSL-S3"=[1]OUT_TransportEnergyCons!$A$3:$A$1000)*1,("var_fout"=[1]OUT_TransportEnergyCons!$B$3:$B$1000)*1,ISNUMBER(SEARCH("TPCAR",[1]OUT_TransportEnergyCons!$C$3:$C$1000))*1,[1]OUT_TransportEnergyCons!G$3:G$1000)</f>
        <v>2.3788291778921806</v>
      </c>
      <c r="J1237" s="1" cm="1">
        <f t="array" ref="J1237">SUMPRODUCT(("T_C-ICE-GSL-S3"=[1]OUT_TransportEnergyCons!$A$3:$A$1000)*1,("var_fout"=[1]OUT_TransportEnergyCons!$B$3:$B$1000)*1,ISNUMBER(SEARCH("TPCAR",[1]OUT_TransportEnergyCons!$C$3:$C$1000))*1,[1]OUT_TransportEnergyCons!H$3:H$1000)</f>
        <v>8.1908005487468663E-4</v>
      </c>
      <c r="K1237" s="1" cm="1">
        <f t="array" ref="K1237">SUMPRODUCT(("T_C-ICE-GSL-S3"=[1]OUT_TransportEnergyCons!$A$3:$A$1000)*1,("var_fout"=[1]OUT_TransportEnergyCons!$B$3:$B$1000)*1,ISNUMBER(SEARCH("TPCAR",[1]OUT_TransportEnergyCons!$C$3:$C$1000))*1,[1]OUT_TransportEnergyCons!I$3:I$1000)</f>
        <v>0</v>
      </c>
    </row>
    <row r="1238" spans="2:11" x14ac:dyDescent="0.35">
      <c r="B1238" s="5" t="str">
        <f t="shared" si="771"/>
        <v>SPS2</v>
      </c>
      <c r="C1238" s="5" t="str">
        <f t="shared" si="774"/>
        <v>CH</v>
      </c>
      <c r="D1238" t="s">
        <v>1159</v>
      </c>
      <c r="E1238" t="str">
        <f t="shared" si="773"/>
        <v>billion km/yr.</v>
      </c>
      <c r="F1238" s="1" cm="1">
        <f t="array" ref="F1238">SUMPRODUCT(("T_C-ICE-GSL-S4"=[1]OUT_TransportEnergyCons!$A$3:$A$1000)*1,("var_fout"=[1]OUT_TransportEnergyCons!$B$3:$B$1000)*1,ISNUMBER(SEARCH("TPCAR",[1]OUT_TransportEnergyCons!$C$3:$C$1000))*1,[1]OUT_TransportEnergyCons!D$3:D$1000)</f>
        <v>1.3978828373040579</v>
      </c>
      <c r="G1238" s="1" cm="1">
        <f t="array" ref="G1238">SUMPRODUCT(("T_C-ICE-GSL-S4"=[1]OUT_TransportEnergyCons!$A$3:$A$1000)*1,("var_fout"=[1]OUT_TransportEnergyCons!$B$3:$B$1000)*1,ISNUMBER(SEARCH("TPCAR",[1]OUT_TransportEnergyCons!$C$3:$C$1000))*1,[1]OUT_TransportEnergyCons!E$3:E$1000)</f>
        <v>2.2779659710087232</v>
      </c>
      <c r="H1238" s="1" cm="1">
        <f t="array" ref="H1238">SUMPRODUCT(("T_C-ICE-GSL-S4"=[1]OUT_TransportEnergyCons!$A$3:$A$1000)*1,("var_fout"=[1]OUT_TransportEnergyCons!$B$3:$B$1000)*1,ISNUMBER(SEARCH("TPCAR",[1]OUT_TransportEnergyCons!$C$3:$C$1000))*1,[1]OUT_TransportEnergyCons!F$3:F$1000)</f>
        <v>3.3913376240037802</v>
      </c>
      <c r="I1238" s="1" cm="1">
        <f t="array" ref="I1238">SUMPRODUCT(("T_C-ICE-GSL-S4"=[1]OUT_TransportEnergyCons!$A$3:$A$1000)*1,("var_fout"=[1]OUT_TransportEnergyCons!$B$3:$B$1000)*1,ISNUMBER(SEARCH("TPCAR",[1]OUT_TransportEnergyCons!$C$3:$C$1000))*1,[1]OUT_TransportEnergyCons!G$3:G$1000)</f>
        <v>2.8135530697939548</v>
      </c>
      <c r="J1238" s="1" cm="1">
        <f t="array" ref="J1238">SUMPRODUCT(("T_C-ICE-GSL-S4"=[1]OUT_TransportEnergyCons!$A$3:$A$1000)*1,("var_fout"=[1]OUT_TransportEnergyCons!$B$3:$B$1000)*1,ISNUMBER(SEARCH("TPCAR",[1]OUT_TransportEnergyCons!$C$3:$C$1000))*1,[1]OUT_TransportEnergyCons!H$3:H$1000)</f>
        <v>6.8542006840744324E-2</v>
      </c>
      <c r="K1238" s="1" cm="1">
        <f t="array" ref="K1238">SUMPRODUCT(("T_C-ICE-GSL-S4"=[1]OUT_TransportEnergyCons!$A$3:$A$1000)*1,("var_fout"=[1]OUT_TransportEnergyCons!$B$3:$B$1000)*1,ISNUMBER(SEARCH("TPCAR",[1]OUT_TransportEnergyCons!$C$3:$C$1000))*1,[1]OUT_TransportEnergyCons!I$3:I$1000)</f>
        <v>0</v>
      </c>
    </row>
    <row r="1239" spans="2:11" x14ac:dyDescent="0.35">
      <c r="B1239" s="5" t="str">
        <f t="shared" si="771"/>
        <v>SPS2</v>
      </c>
      <c r="C1239" s="5" t="str">
        <f t="shared" si="774"/>
        <v>CH</v>
      </c>
      <c r="D1239" t="s">
        <v>1160</v>
      </c>
      <c r="E1239" t="str">
        <f t="shared" si="773"/>
        <v>billion km/yr.</v>
      </c>
      <c r="F1239" s="1" cm="1">
        <f t="array" ref="F1239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39" s="1" cm="1">
        <f t="array" ref="G1239">SUMPRODUCT(("T_C-MHY-GSL-S1"=[1]OUT_TransportEnergyCons!$A$3:$A$1000)*1,("var_fout"=[1]OUT_TransportEnergyCons!$B$3:$B$1000)*1,ISNUMBER(SEARCH("TPCAR",[1]OUT_TransportEnergyCons!$C$3:$C$1000))*1,[1]OUT_TransportEnergyCons!E$3:E$1000)</f>
        <v>5.593728370493318E-4</v>
      </c>
      <c r="H1239" s="1" cm="1">
        <f t="array" ref="H1239">SUMPRODUCT(("T_C-MHY-GSL-S1"=[1]OUT_TransportEnergyCons!$A$3:$A$1000)*1,("var_fout"=[1]OUT_TransportEnergyCons!$B$3:$B$1000)*1,ISNUMBER(SEARCH("TPCAR",[1]OUT_TransportEnergyCons!$C$3:$C$1000))*1,[1]OUT_TransportEnergyCons!F$3:F$1000)</f>
        <v>1.0529816133726512E-3</v>
      </c>
      <c r="I1239" s="1" cm="1">
        <f t="array" ref="I1239">SUMPRODUCT(("T_C-MHY-GSL-S1"=[1]OUT_TransportEnergyCons!$A$3:$A$1000)*1,("var_fout"=[1]OUT_TransportEnergyCons!$B$3:$B$1000)*1,ISNUMBER(SEARCH("TPCAR",[1]OUT_TransportEnergyCons!$C$3:$C$1000))*1,[1]OUT_TransportEnergyCons!G$3:G$1000)</f>
        <v>1.4656325200859861E-3</v>
      </c>
      <c r="J1239" s="1" cm="1">
        <f t="array" ref="J1239">SUMPRODUCT(("T_C-MHY-GSL-S1"=[1]OUT_TransportEnergyCons!$A$3:$A$1000)*1,("var_fout"=[1]OUT_TransportEnergyCons!$B$3:$B$1000)*1,ISNUMBER(SEARCH("TPCAR",[1]OUT_TransportEnergyCons!$C$3:$C$1000))*1,[1]OUT_TransportEnergyCons!H$3:H$1000)</f>
        <v>2.7222331354559328E-4</v>
      </c>
      <c r="K1239" s="1" cm="1">
        <f t="array" ref="K1239">SUMPRODUCT(("T_C-MHY-GSL-S1"=[1]OUT_TransportEnergyCons!$A$3:$A$1000)*1,("var_fout"=[1]OUT_TransportEnergyCons!$B$3:$B$1000)*1,ISNUMBER(SEARCH("TPCAR",[1]OUT_TransportEnergyCons!$C$3:$C$1000))*1,[1]OUT_TransportEnergyCons!I$3:I$1000)</f>
        <v>0</v>
      </c>
    </row>
    <row r="1240" spans="2:11" x14ac:dyDescent="0.35">
      <c r="B1240" s="5" t="str">
        <f t="shared" si="771"/>
        <v>SPS2</v>
      </c>
      <c r="C1240" s="5" t="str">
        <f t="shared" si="774"/>
        <v>CH</v>
      </c>
      <c r="D1240" t="s">
        <v>1161</v>
      </c>
      <c r="E1240" t="str">
        <f t="shared" si="773"/>
        <v>billion km/yr.</v>
      </c>
      <c r="F1240" s="1" cm="1">
        <f t="array" ref="F1240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0" s="1" cm="1">
        <f t="array" ref="G1240">SUMPRODUCT(("T_C-MHY-GSL-S2"=[1]OUT_TransportEnergyCons!$A$3:$A$1000)*1,("var_fout"=[1]OUT_TransportEnergyCons!$B$3:$B$1000)*1,ISNUMBER(SEARCH("TPCAR",[1]OUT_TransportEnergyCons!$C$3:$C$1000))*1,[1]OUT_TransportEnergyCons!E$3:E$1000)</f>
        <v>3.5523043249403131E-4</v>
      </c>
      <c r="H1240" s="1" cm="1">
        <f t="array" ref="H1240">SUMPRODUCT(("T_C-MHY-GSL-S2"=[1]OUT_TransportEnergyCons!$A$3:$A$1000)*1,("var_fout"=[1]OUT_TransportEnergyCons!$B$3:$B$1000)*1,ISNUMBER(SEARCH("TPCAR",[1]OUT_TransportEnergyCons!$C$3:$C$1000))*1,[1]OUT_TransportEnergyCons!F$3:F$1000)</f>
        <v>1.0297011123900149E-3</v>
      </c>
      <c r="I1240" s="1" cm="1">
        <f t="array" ref="I1240">SUMPRODUCT(("T_C-MHY-GSL-S2"=[1]OUT_TransportEnergyCons!$A$3:$A$1000)*1,("var_fout"=[1]OUT_TransportEnergyCons!$B$3:$B$1000)*1,ISNUMBER(SEARCH("TPCAR",[1]OUT_TransportEnergyCons!$C$3:$C$1000))*1,[1]OUT_TransportEnergyCons!G$3:G$1000)</f>
        <v>1.3352659776670584E-3</v>
      </c>
      <c r="J1240" s="1" cm="1">
        <f t="array" ref="J1240">SUMPRODUCT(("T_C-MHY-GSL-S2"=[1]OUT_TransportEnergyCons!$A$3:$A$1000)*1,("var_fout"=[1]OUT_TransportEnergyCons!$B$3:$B$1000)*1,ISNUMBER(SEARCH("TPCAR",[1]OUT_TransportEnergyCons!$C$3:$C$1000))*1,[1]OUT_TransportEnergyCons!H$3:H$1000)</f>
        <v>2.0822054681107066E-4</v>
      </c>
      <c r="K1240" s="1" cm="1">
        <f t="array" ref="K1240">SUMPRODUCT(("T_C-MHY-GSL-S2"=[1]OUT_TransportEnergyCons!$A$3:$A$1000)*1,("var_fout"=[1]OUT_TransportEnergyCons!$B$3:$B$1000)*1,ISNUMBER(SEARCH("TPCAR",[1]OUT_TransportEnergyCons!$C$3:$C$1000))*1,[1]OUT_TransportEnergyCons!I$3:I$1000)</f>
        <v>0</v>
      </c>
    </row>
    <row r="1241" spans="2:11" x14ac:dyDescent="0.35">
      <c r="B1241" s="5" t="str">
        <f t="shared" si="771"/>
        <v>SPS2</v>
      </c>
      <c r="C1241" s="5" t="str">
        <f t="shared" si="774"/>
        <v>CH</v>
      </c>
      <c r="D1241" t="s">
        <v>1162</v>
      </c>
      <c r="E1241" t="str">
        <f t="shared" si="773"/>
        <v>billion km/yr.</v>
      </c>
      <c r="F1241" s="1" cm="1">
        <f t="array" ref="F1241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SUMPRODUCT(("T_C-MHY-GSL-S3"=[1]OUT_TransportEnergyCons!$A$3:$A$1000)*1,("var_fout"=[1]OUT_TransportEnergyCons!$B$3:$B$1000)*1,ISNUMBER(SEARCH("TPCAR",[1]OUT_TransportEnergyCons!$C$3:$C$1000))*1,[1]OUT_TransportEnergyCons!E$3:E$1000)</f>
        <v>4.357598911547537E-4</v>
      </c>
      <c r="H1241" s="1" cm="1">
        <f t="array" ref="H1241">SUMPRODUCT(("T_C-MHY-GSL-S3"=[1]OUT_TransportEnergyCons!$A$3:$A$1000)*1,("var_fout"=[1]OUT_TransportEnergyCons!$B$3:$B$1000)*1,ISNUMBER(SEARCH("TPCAR",[1]OUT_TransportEnergyCons!$C$3:$C$1000))*1,[1]OUT_TransportEnergyCons!F$3:F$1000)</f>
        <v>1.13370820081773E-3</v>
      </c>
      <c r="I1241" s="1" cm="1">
        <f t="array" ref="I1241">SUMPRODUCT(("T_C-MHY-GSL-S3"=[1]OUT_TransportEnergyCons!$A$3:$A$1000)*1,("var_fout"=[1]OUT_TransportEnergyCons!$B$3:$B$1000)*1,ISNUMBER(SEARCH("TPCAR",[1]OUT_TransportEnergyCons!$C$3:$C$1000))*1,[1]OUT_TransportEnergyCons!G$3:G$1000)</f>
        <v>1.342555004277149E-3</v>
      </c>
      <c r="J1241" s="1" cm="1">
        <f t="array" ref="J1241">SUMPRODUCT(("T_C-MHY-GSL-S3"=[1]OUT_TransportEnergyCons!$A$3:$A$1000)*1,("var_fout"=[1]OUT_TransportEnergyCons!$B$3:$B$1000)*1,ISNUMBER(SEARCH("TPCAR",[1]OUT_TransportEnergyCons!$C$3:$C$1000))*1,[1]OUT_TransportEnergyCons!H$3:H$1000)</f>
        <v>1.9232562367116069E-4</v>
      </c>
      <c r="K1241" s="1" cm="1">
        <f t="array" ref="K1241">SUMPRODUCT(("T_C-MHY-GSL-S3"=[1]OUT_TransportEnergyCons!$A$3:$A$1000)*1,("var_fout"=[1]OUT_TransportEnergyCons!$B$3:$B$1000)*1,ISNUMBER(SEARCH("TPCAR",[1]OUT_TransportEnergyCons!$C$3:$C$1000))*1,[1]OUT_TransportEnergyCons!I$3:I$1000)</f>
        <v>0</v>
      </c>
    </row>
    <row r="1242" spans="2:11" x14ac:dyDescent="0.35">
      <c r="B1242" s="5" t="str">
        <f t="shared" si="771"/>
        <v>SPS2</v>
      </c>
      <c r="C1242" s="5" t="str">
        <f t="shared" si="774"/>
        <v>CH</v>
      </c>
      <c r="D1242" t="s">
        <v>1163</v>
      </c>
      <c r="E1242" t="str">
        <f t="shared" si="773"/>
        <v>billion km/yr.</v>
      </c>
      <c r="F1242" s="1" cm="1">
        <f t="array" ref="F1242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SUMPRODUCT(("T_C-MHY-GSL-S4"=[1]OUT_TransportEnergyCons!$A$3:$A$1000)*1,("var_fout"=[1]OUT_TransportEnergyCons!$B$3:$B$1000)*1,ISNUMBER(SEARCH("TPCAR",[1]OUT_TransportEnergyCons!$C$3:$C$1000))*1,[1]OUT_TransportEnergyCons!E$3:E$1000)</f>
        <v>5.3944765324679463E-4</v>
      </c>
      <c r="H1242" s="1" cm="1">
        <f t="array" ref="H1242">SUMPRODUCT(("T_C-MHY-GSL-S4"=[1]OUT_TransportEnergyCons!$A$3:$A$1000)*1,("var_fout"=[1]OUT_TransportEnergyCons!$B$3:$B$1000)*1,ISNUMBER(SEARCH("TPCAR",[1]OUT_TransportEnergyCons!$C$3:$C$1000))*1,[1]OUT_TransportEnergyCons!F$3:F$1000)</f>
        <v>1.4542327173052091E-3</v>
      </c>
      <c r="I1242" s="1" cm="1">
        <f t="array" ref="I1242">SUMPRODUCT(("T_C-MHY-GSL-S4"=[1]OUT_TransportEnergyCons!$A$3:$A$1000)*1,("var_fout"=[1]OUT_TransportEnergyCons!$B$3:$B$1000)*1,ISNUMBER(SEARCH("TPCAR",[1]OUT_TransportEnergyCons!$C$3:$C$1000))*1,[1]OUT_TransportEnergyCons!G$3:G$1000)</f>
        <v>1.6769475834293381E-3</v>
      </c>
      <c r="J1242" s="1" cm="1">
        <f t="array" ref="J1242">SUMPRODUCT(("T_C-MHY-GSL-S4"=[1]OUT_TransportEnergyCons!$A$3:$A$1000)*1,("var_fout"=[1]OUT_TransportEnergyCons!$B$3:$B$1000)*1,ISNUMBER(SEARCH("TPCAR",[1]OUT_TransportEnergyCons!$C$3:$C$1000))*1,[1]OUT_TransportEnergyCons!H$3:H$1000)</f>
        <v>2.281243646202658E-4</v>
      </c>
      <c r="K1242" s="1" cm="1">
        <f t="array" ref="K1242">SUMPRODUCT(("T_C-MHY-GSL-S4"=[1]OUT_TransportEnergyCons!$A$3:$A$1000)*1,("var_fout"=[1]OUT_TransportEnergyCons!$B$3:$B$1000)*1,ISNUMBER(SEARCH("TPCAR",[1]OUT_TransportEnergyCons!$C$3:$C$1000))*1,[1]OUT_TransportEnergyCons!I$3:I$1000)</f>
        <v>0</v>
      </c>
    </row>
    <row r="1243" spans="2:11" x14ac:dyDescent="0.35">
      <c r="B1243" s="5" t="str">
        <f t="shared" si="771"/>
        <v>SPS2</v>
      </c>
      <c r="C1243" s="5" t="str">
        <f t="shared" si="774"/>
        <v>CH</v>
      </c>
      <c r="D1243" t="s">
        <v>1236</v>
      </c>
      <c r="E1243" t="str">
        <f t="shared" si="773"/>
        <v>billion km/yr.</v>
      </c>
      <c r="F1243" s="1" cm="1">
        <f t="array" ref="F1243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3" s="1" cm="1">
        <f t="array" ref="H1243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3" s="1" cm="1">
        <f t="array" ref="I1243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3" s="1" cm="1">
        <f t="array" ref="J1243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3" s="1" cm="1">
        <f t="array" ref="K1243">SUMPRODUCT(("T_C-HYBDSLEXT"=[1]OUT_TransportEnergyCons!$A$3:$A$1000)*1,("var_fout"=[1]OUT_TransportEnergyCons!$B$3:$B$1000)*1,ISNUMBER(SEARCH("TPCAR",[1]OUT_TransportEnergyCons!$C$3:$C$1000))*1,[1]OUT_TransportEnergyCons!I$3:I$1000)</f>
        <v>0</v>
      </c>
    </row>
    <row r="1244" spans="2:11" x14ac:dyDescent="0.35">
      <c r="B1244" s="5" t="str">
        <f t="shared" si="771"/>
        <v>SPS2</v>
      </c>
      <c r="C1244" s="5" t="str">
        <f t="shared" si="774"/>
        <v>CH</v>
      </c>
      <c r="D1244" t="s">
        <v>1164</v>
      </c>
      <c r="E1244" t="str">
        <f t="shared" si="773"/>
        <v>billion km/yr.</v>
      </c>
      <c r="F1244" s="1" cm="1">
        <f t="array" ref="F1244">SUMPRODUCT(("T_C-HY-DSL-S1"=[1]OUT_TransportEnergyCons!$A$3:$A$1000)*1,("var_fout"=[1]OUT_TransportEnergyCons!$B$3:$B$1000)*1,ISNUMBER(SEARCH("TPCAR",[1]OUT_TransportEnergyCons!$C$3:$C$1000))*1,[1]OUT_TransportEnergyCons!D$3:D$1000)</f>
        <v>1.470286462965819E-5</v>
      </c>
      <c r="G1244" s="1" cm="1">
        <f t="array" ref="G1244">SUMPRODUCT(("T_C-HY-DSL-S1"=[1]OUT_TransportEnergyCons!$A$3:$A$1000)*1,("var_fout"=[1]OUT_TransportEnergyCons!$B$3:$B$1000)*1,ISNUMBER(SEARCH("TPCAR",[1]OUT_TransportEnergyCons!$C$3:$C$1000))*1,[1]OUT_TransportEnergyCons!E$3:E$1000)</f>
        <v>0.27792767326005768</v>
      </c>
      <c r="H1244" s="1" cm="1">
        <f t="array" ref="H1244">SUMPRODUCT(("T_C-HY-DSL-S1"=[1]OUT_TransportEnergyCons!$A$3:$A$1000)*1,("var_fout"=[1]OUT_TransportEnergyCons!$B$3:$B$1000)*1,ISNUMBER(SEARCH("TPCAR",[1]OUT_TransportEnergyCons!$C$3:$C$1000))*1,[1]OUT_TransportEnergyCons!F$3:F$1000)</f>
        <v>0.18558843104756906</v>
      </c>
      <c r="I1244" s="1" cm="1">
        <f t="array" ref="I1244">SUMPRODUCT(("T_C-HY-DSL-S1"=[1]OUT_TransportEnergyCons!$A$3:$A$1000)*1,("var_fout"=[1]OUT_TransportEnergyCons!$B$3:$B$1000)*1,ISNUMBER(SEARCH("TPCAR",[1]OUT_TransportEnergyCons!$C$3:$C$1000))*1,[1]OUT_TransportEnergyCons!G$3:G$1000)</f>
        <v>0.14993407053627536</v>
      </c>
      <c r="J1244" s="1" cm="1">
        <f t="array" ref="J1244">SUMPRODUCT(("T_C-HY-DSL-S1"=[1]OUT_TransportEnergyCons!$A$3:$A$1000)*1,("var_fout"=[1]OUT_TransportEnergyCons!$B$3:$B$1000)*1,ISNUMBER(SEARCH("TPCAR",[1]OUT_TransportEnergyCons!$C$3:$C$1000))*1,[1]OUT_TransportEnergyCons!H$3:H$1000)</f>
        <v>3.7399922362183418E-4</v>
      </c>
      <c r="K1244" s="1" cm="1">
        <f t="array" ref="K1244">SUMPRODUCT(("T_C-HY-DSL-S1"=[1]OUT_TransportEnergyCons!$A$3:$A$1000)*1,("var_fout"=[1]OUT_TransportEnergyCons!$B$3:$B$1000)*1,ISNUMBER(SEARCH("TPCAR",[1]OUT_TransportEnergyCons!$C$3:$C$1000))*1,[1]OUT_TransportEnergyCons!I$3:I$1000)</f>
        <v>0</v>
      </c>
    </row>
    <row r="1245" spans="2:11" x14ac:dyDescent="0.35">
      <c r="B1245" s="5" t="str">
        <f t="shared" si="771"/>
        <v>SPS2</v>
      </c>
      <c r="C1245" s="5" t="str">
        <f t="shared" si="774"/>
        <v>CH</v>
      </c>
      <c r="D1245" t="s">
        <v>1165</v>
      </c>
      <c r="E1245" t="str">
        <f t="shared" si="773"/>
        <v>billion km/yr.</v>
      </c>
      <c r="F1245" s="1" cm="1">
        <f t="array" ref="F1245">SUMPRODUCT(("T_C-HY-DSL-S2"=[1]OUT_TransportEnergyCons!$A$3:$A$1000)*1,("var_fout"=[1]OUT_TransportEnergyCons!$B$3:$B$1000)*1,ISNUMBER(SEARCH("TPCAR",[1]OUT_TransportEnergyCons!$C$3:$C$1000))*1,[1]OUT_TransportEnergyCons!D$3:D$1000)</f>
        <v>3.0266470688505064E-3</v>
      </c>
      <c r="G1245" s="1" cm="1">
        <f t="array" ref="G1245">SUMPRODUCT(("T_C-HY-DSL-S2"=[1]OUT_TransportEnergyCons!$A$3:$A$1000)*1,("var_fout"=[1]OUT_TransportEnergyCons!$B$3:$B$1000)*1,ISNUMBER(SEARCH("TPCAR",[1]OUT_TransportEnergyCons!$C$3:$C$1000))*1,[1]OUT_TransportEnergyCons!E$3:E$1000)</f>
        <v>1.4031647795477253</v>
      </c>
      <c r="H1245" s="1" cm="1">
        <f t="array" ref="H1245">SUMPRODUCT(("T_C-HY-DSL-S2"=[1]OUT_TransportEnergyCons!$A$3:$A$1000)*1,("var_fout"=[1]OUT_TransportEnergyCons!$B$3:$B$1000)*1,ISNUMBER(SEARCH("TPCAR",[1]OUT_TransportEnergyCons!$C$3:$C$1000))*1,[1]OUT_TransportEnergyCons!F$3:F$1000)</f>
        <v>2.8665616758182475</v>
      </c>
      <c r="I1245" s="1" cm="1">
        <f t="array" ref="I1245">SUMPRODUCT(("T_C-HY-DSL-S2"=[1]OUT_TransportEnergyCons!$A$3:$A$1000)*1,("var_fout"=[1]OUT_TransportEnergyCons!$B$3:$B$1000)*1,ISNUMBER(SEARCH("TPCAR",[1]OUT_TransportEnergyCons!$C$3:$C$1000))*1,[1]OUT_TransportEnergyCons!G$3:G$1000)</f>
        <v>2.4199810129285306</v>
      </c>
      <c r="J1245" s="1" cm="1">
        <f t="array" ref="J1245">SUMPRODUCT(("T_C-HY-DSL-S2"=[1]OUT_TransportEnergyCons!$A$3:$A$1000)*1,("var_fout"=[1]OUT_TransportEnergyCons!$B$3:$B$1000)*1,ISNUMBER(SEARCH("TPCAR",[1]OUT_TransportEnergyCons!$C$3:$C$1000))*1,[1]OUT_TransportEnergyCons!H$3:H$1000)</f>
        <v>9.4852100828699007E-2</v>
      </c>
      <c r="K1245" s="1" cm="1">
        <f t="array" ref="K1245">SUMPRODUCT(("T_C-HY-DSL-S2"=[1]OUT_TransportEnergyCons!$A$3:$A$1000)*1,("var_fout"=[1]OUT_TransportEnergyCons!$B$3:$B$1000)*1,ISNUMBER(SEARCH("TPCAR",[1]OUT_TransportEnergyCons!$C$3:$C$1000))*1,[1]OUT_TransportEnergyCons!I$3:I$1000)</f>
        <v>0</v>
      </c>
    </row>
    <row r="1246" spans="2:11" x14ac:dyDescent="0.35">
      <c r="B1246" s="5" t="str">
        <f t="shared" si="771"/>
        <v>SPS2</v>
      </c>
      <c r="C1246" s="5" t="str">
        <f t="shared" si="774"/>
        <v>CH</v>
      </c>
      <c r="D1246" t="s">
        <v>1166</v>
      </c>
      <c r="E1246" t="str">
        <f t="shared" si="773"/>
        <v>billion km/yr.</v>
      </c>
      <c r="F1246" s="1" cm="1">
        <f t="array" ref="F1246">SUMPRODUCT(("T_C-HY-DSL-S3"=[1]OUT_TransportEnergyCons!$A$3:$A$1000)*1,("var_fout"=[1]OUT_TransportEnergyCons!$B$3:$B$1000)*1,ISNUMBER(SEARCH("TPCAR",[1]OUT_TransportEnergyCons!$C$3:$C$1000))*1,[1]OUT_TransportEnergyCons!D$3:D$1000)</f>
        <v>2.4411691145886545E-2</v>
      </c>
      <c r="G1246" s="1" cm="1">
        <f t="array" ref="G1246">SUMPRODUCT(("T_C-HY-DSL-S3"=[1]OUT_TransportEnergyCons!$A$3:$A$1000)*1,("var_fout"=[1]OUT_TransportEnergyCons!$B$3:$B$1000)*1,ISNUMBER(SEARCH("TPCAR",[1]OUT_TransportEnergyCons!$C$3:$C$1000))*1,[1]OUT_TransportEnergyCons!E$3:E$1000)</f>
        <v>5.637712964456093E-2</v>
      </c>
      <c r="H1246" s="1" cm="1">
        <f t="array" ref="H1246">SUMPRODUCT(("T_C-HY-DSL-S3"=[1]OUT_TransportEnergyCons!$A$3:$A$1000)*1,("var_fout"=[1]OUT_TransportEnergyCons!$B$3:$B$1000)*1,ISNUMBER(SEARCH("TPCAR",[1]OUT_TransportEnergyCons!$C$3:$C$1000))*1,[1]OUT_TransportEnergyCons!F$3:F$1000)</f>
        <v>5.4649868728404702E-2</v>
      </c>
      <c r="I1246" s="1" cm="1">
        <f t="array" ref="I1246">SUMPRODUCT(("T_C-HY-DSL-S3"=[1]OUT_TransportEnergyCons!$A$3:$A$1000)*1,("var_fout"=[1]OUT_TransportEnergyCons!$B$3:$B$1000)*1,ISNUMBER(SEARCH("TPCAR",[1]OUT_TransportEnergyCons!$C$3:$C$1000))*1,[1]OUT_TransportEnergyCons!G$3:G$1000)</f>
        <v>4.3977115878709769E-2</v>
      </c>
      <c r="J1246" s="1" cm="1">
        <f t="array" ref="J1246">SUMPRODUCT(("T_C-HY-DSL-S3"=[1]OUT_TransportEnergyCons!$A$3:$A$1000)*1,("var_fout"=[1]OUT_TransportEnergyCons!$B$3:$B$1000)*1,ISNUMBER(SEARCH("TPCAR",[1]OUT_TransportEnergyCons!$C$3:$C$1000))*1,[1]OUT_TransportEnergyCons!H$3:H$1000)</f>
        <v>2.1177421364711462E-4</v>
      </c>
      <c r="K1246" s="1" cm="1">
        <f t="array" ref="K1246">SUMPRODUCT(("T_C-HY-DSL-S3"=[1]OUT_TransportEnergyCons!$A$3:$A$1000)*1,("var_fout"=[1]OUT_TransportEnergyCons!$B$3:$B$1000)*1,ISNUMBER(SEARCH("TPCAR",[1]OUT_TransportEnergyCons!$C$3:$C$1000))*1,[1]OUT_TransportEnergyCons!I$3:I$1000)</f>
        <v>0</v>
      </c>
    </row>
    <row r="1247" spans="2:11" x14ac:dyDescent="0.35">
      <c r="B1247" s="5" t="str">
        <f t="shared" si="771"/>
        <v>SPS2</v>
      </c>
      <c r="C1247" s="5" t="str">
        <f t="shared" si="774"/>
        <v>CH</v>
      </c>
      <c r="D1247" t="s">
        <v>1167</v>
      </c>
      <c r="E1247" t="str">
        <f t="shared" si="773"/>
        <v>billion km/yr.</v>
      </c>
      <c r="F1247" s="1" cm="1">
        <f t="array" ref="F1247">SUMPRODUCT(("T_C-HY-DSL-S4"=[1]OUT_TransportEnergyCons!$A$3:$A$1000)*1,("var_fout"=[1]OUT_TransportEnergyCons!$B$3:$B$1000)*1,ISNUMBER(SEARCH("TPCAR",[1]OUT_TransportEnergyCons!$C$3:$C$1000))*1,[1]OUT_TransportEnergyCons!D$3:D$1000)</f>
        <v>4.7183190968261159E-2</v>
      </c>
      <c r="G1247" s="1" cm="1">
        <f t="array" ref="G1247">SUMPRODUCT(("T_C-HY-DSL-S4"=[1]OUT_TransportEnergyCons!$A$3:$A$1000)*1,("var_fout"=[1]OUT_TransportEnergyCons!$B$3:$B$1000)*1,ISNUMBER(SEARCH("TPCAR",[1]OUT_TransportEnergyCons!$C$3:$C$1000))*1,[1]OUT_TransportEnergyCons!E$3:E$1000)</f>
        <v>0.11534650785090125</v>
      </c>
      <c r="H1247" s="1" cm="1">
        <f t="array" ref="H1247">SUMPRODUCT(("T_C-HY-DSL-S4"=[1]OUT_TransportEnergyCons!$A$3:$A$1000)*1,("var_fout"=[1]OUT_TransportEnergyCons!$B$3:$B$1000)*1,ISNUMBER(SEARCH("TPCAR",[1]OUT_TransportEnergyCons!$C$3:$C$1000))*1,[1]OUT_TransportEnergyCons!F$3:F$1000)</f>
        <v>0.11090934856546077</v>
      </c>
      <c r="I1247" s="1" cm="1">
        <f t="array" ref="I1247">SUMPRODUCT(("T_C-HY-DSL-S4"=[1]OUT_TransportEnergyCons!$A$3:$A$1000)*1,("var_fout"=[1]OUT_TransportEnergyCons!$B$3:$B$1000)*1,ISNUMBER(SEARCH("TPCAR",[1]OUT_TransportEnergyCons!$C$3:$C$1000))*1,[1]OUT_TransportEnergyCons!G$3:G$1000)</f>
        <v>9.3461948793707533E-2</v>
      </c>
      <c r="J1247" s="1" cm="1">
        <f t="array" ref="J1247">SUMPRODUCT(("T_C-HY-DSL-S4"=[1]OUT_TransportEnergyCons!$A$3:$A$1000)*1,("var_fout"=[1]OUT_TransportEnergyCons!$B$3:$B$1000)*1,ISNUMBER(SEARCH("TPCAR",[1]OUT_TransportEnergyCons!$C$3:$C$1000))*1,[1]OUT_TransportEnergyCons!H$3:H$1000)</f>
        <v>2.2272457144779454E-4</v>
      </c>
      <c r="K1247" s="1" cm="1">
        <f t="array" ref="K1247">SUMPRODUCT(("T_C-HY-DSL-S4"=[1]OUT_TransportEnergyCons!$A$3:$A$1000)*1,("var_fout"=[1]OUT_TransportEnergyCons!$B$3:$B$1000)*1,ISNUMBER(SEARCH("TPCAR",[1]OUT_TransportEnergyCons!$C$3:$C$1000))*1,[1]OUT_TransportEnergyCons!I$3:I$1000)</f>
        <v>0</v>
      </c>
    </row>
    <row r="1248" spans="2:11" x14ac:dyDescent="0.35">
      <c r="B1248" s="5" t="str">
        <f t="shared" si="771"/>
        <v>SPS2</v>
      </c>
      <c r="C1248" s="5" t="str">
        <f t="shared" si="774"/>
        <v>CH</v>
      </c>
      <c r="D1248" t="s">
        <v>1168</v>
      </c>
      <c r="E1248" t="str">
        <f t="shared" si="773"/>
        <v>billion km/yr.</v>
      </c>
      <c r="F1248" s="1" cm="1">
        <f t="array" ref="F1248">SUMPRODUCT(("T_C-ICEDSLEXT"=[1]OUT_TransportEnergyCons!$A$3:$A$1000)*1,("var_fout"=[1]OUT_TransportEnergyCons!$B$3:$B$1000)*1,ISNUMBER(SEARCH("TPCAR",[1]OUT_TransportEnergyCons!$C$3:$C$1000))*1,[1]OUT_TransportEnergyCons!D$3:D$1000)</f>
        <v>19.180155597738722</v>
      </c>
      <c r="G1248" s="1" cm="1">
        <f t="array" ref="G1248">SUMPRODUCT(("T_C-ICEDSLEXT"=[1]OUT_TransportEnergyCons!$A$3:$A$1000)*1,("var_fout"=[1]OUT_TransportEnergyCons!$B$3:$B$1000)*1,ISNUMBER(SEARCH("TPCAR",[1]OUT_TransportEnergyCons!$C$3:$C$1000))*1,[1]OUT_TransportEnergyCons!E$3:E$1000)</f>
        <v>17.23595185740113</v>
      </c>
      <c r="H1248" s="1" cm="1">
        <f t="array" ref="H1248">SUMPRODUCT(("T_C-ICEDSLEXT"=[1]OUT_TransportEnergyCons!$A$3:$A$1000)*1,("var_fout"=[1]OUT_TransportEnergyCons!$B$3:$B$1000)*1,ISNUMBER(SEARCH("TPCAR",[1]OUT_TransportEnergyCons!$C$3:$C$1000))*1,[1]OUT_TransportEnergyCons!F$3:F$1000)</f>
        <v>13.142559381328789</v>
      </c>
      <c r="I1248" s="1" cm="1">
        <f t="array" ref="I1248">SUMPRODUCT(("T_C-ICEDSLEXT"=[1]OUT_TransportEnergyCons!$A$3:$A$1000)*1,("var_fout"=[1]OUT_TransportEnergyCons!$B$3:$B$1000)*1,ISNUMBER(SEARCH("TPCAR",[1]OUT_TransportEnergyCons!$C$3:$C$1000))*1,[1]OUT_TransportEnergyCons!G$3:G$1000)</f>
        <v>6.1068663949905382</v>
      </c>
      <c r="J1248" s="1" cm="1">
        <f t="array" ref="J1248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48" s="1" cm="1">
        <f t="array" ref="K1248">SUMPRODUCT(("T_C-ICEDSLEXT"=[1]OUT_TransportEnergyCons!$A$3:$A$1000)*1,("var_fout"=[1]OUT_TransportEnergyCons!$B$3:$B$1000)*1,ISNUMBER(SEARCH("TPCAR",[1]OUT_TransportEnergyCons!$C$3:$C$1000))*1,[1]OUT_TransportEnergyCons!I$3:I$1000)</f>
        <v>0</v>
      </c>
    </row>
    <row r="1249" spans="2:11" x14ac:dyDescent="0.35">
      <c r="B1249" s="5" t="str">
        <f t="shared" si="771"/>
        <v>SPS2</v>
      </c>
      <c r="C1249" s="5" t="str">
        <f t="shared" si="774"/>
        <v>CH</v>
      </c>
      <c r="D1249" t="s">
        <v>1169</v>
      </c>
      <c r="E1249" t="str">
        <f t="shared" si="773"/>
        <v>billion km/yr.</v>
      </c>
      <c r="F1249" s="1" cm="1">
        <f t="array" ref="F1249">SUMPRODUCT(("T_C-ICE-DSL-S1"=[1]OUT_TransportEnergyCons!$A$3:$A$1000)*1,("var_fout"=[1]OUT_TransportEnergyCons!$B$3:$B$1000)*1,ISNUMBER(SEARCH("TPCAR",[1]OUT_TransportEnergyCons!$C$3:$C$1000))*1,[1]OUT_TransportEnergyCons!D$3:D$1000)</f>
        <v>3.8512463023004039E-3</v>
      </c>
      <c r="G1249" s="1" cm="1">
        <f t="array" ref="G1249">SUMPRODUCT(("T_C-ICE-DSL-S1"=[1]OUT_TransportEnergyCons!$A$3:$A$1000)*1,("var_fout"=[1]OUT_TransportEnergyCons!$B$3:$B$1000)*1,ISNUMBER(SEARCH("TPCAR",[1]OUT_TransportEnergyCons!$C$3:$C$1000))*1,[1]OUT_TransportEnergyCons!E$3:E$1000)</f>
        <v>6.6950209800956829E-3</v>
      </c>
      <c r="H1249" s="1" cm="1">
        <f t="array" ref="H1249">SUMPRODUCT(("T_C-ICE-DSL-S1"=[1]OUT_TransportEnergyCons!$A$3:$A$1000)*1,("var_fout"=[1]OUT_TransportEnergyCons!$B$3:$B$1000)*1,ISNUMBER(SEARCH("TPCAR",[1]OUT_TransportEnergyCons!$C$3:$C$1000))*1,[1]OUT_TransportEnergyCons!F$3:F$1000)</f>
        <v>5.9780477732927721E-3</v>
      </c>
      <c r="I1249" s="1" cm="1">
        <f t="array" ref="I1249">SUMPRODUCT(("T_C-ICE-DSL-S1"=[1]OUT_TransportEnergyCons!$A$3:$A$1000)*1,("var_fout"=[1]OUT_TransportEnergyCons!$B$3:$B$1000)*1,ISNUMBER(SEARCH("TPCAR",[1]OUT_TransportEnergyCons!$C$3:$C$1000))*1,[1]OUT_TransportEnergyCons!G$3:G$1000)</f>
        <v>5.1094133307238252E-3</v>
      </c>
      <c r="J1249" s="1" cm="1">
        <f t="array" ref="J1249">SUMPRODUCT(("T_C-ICE-DSL-S1"=[1]OUT_TransportEnergyCons!$A$3:$A$1000)*1,("var_fout"=[1]OUT_TransportEnergyCons!$B$3:$B$1000)*1,ISNUMBER(SEARCH("TPCAR",[1]OUT_TransportEnergyCons!$C$3:$C$1000))*1,[1]OUT_TransportEnergyCons!H$3:H$1000)</f>
        <v>2.5374637451981268E-4</v>
      </c>
      <c r="K1249" s="1" cm="1">
        <f t="array" ref="K1249">SUMPRODUCT(("T_C-ICE-DSL-S1"=[1]OUT_TransportEnergyCons!$A$3:$A$1000)*1,("var_fout"=[1]OUT_TransportEnergyCons!$B$3:$B$1000)*1,ISNUMBER(SEARCH("TPCAR",[1]OUT_TransportEnergyCons!$C$3:$C$1000))*1,[1]OUT_TransportEnergyCons!I$3:I$1000)</f>
        <v>0</v>
      </c>
    </row>
    <row r="1250" spans="2:11" x14ac:dyDescent="0.35">
      <c r="B1250" s="5" t="str">
        <f t="shared" si="771"/>
        <v>SPS2</v>
      </c>
      <c r="C1250" s="5" t="str">
        <f t="shared" si="774"/>
        <v>CH</v>
      </c>
      <c r="D1250" t="s">
        <v>1170</v>
      </c>
      <c r="E1250" t="str">
        <f t="shared" si="773"/>
        <v>billion km/yr.</v>
      </c>
      <c r="F1250" s="1" cm="1">
        <f t="array" ref="F1250">SUMPRODUCT(("T_C-ICE-DSL-S2"=[1]OUT_TransportEnergyCons!$A$3:$A$1000)*1,("var_fout"=[1]OUT_TransportEnergyCons!$B$3:$B$1000)*1,ISNUMBER(SEARCH("TPCAR",[1]OUT_TransportEnergyCons!$C$3:$C$1000))*1,[1]OUT_TransportEnergyCons!D$3:D$1000)</f>
        <v>0.68575798769780694</v>
      </c>
      <c r="G1250" s="1" cm="1">
        <f t="array" ref="G1250">SUMPRODUCT(("T_C-ICE-DSL-S2"=[1]OUT_TransportEnergyCons!$A$3:$A$1000)*1,("var_fout"=[1]OUT_TransportEnergyCons!$B$3:$B$1000)*1,ISNUMBER(SEARCH("TPCAR",[1]OUT_TransportEnergyCons!$C$3:$C$1000))*1,[1]OUT_TransportEnergyCons!E$3:E$1000)</f>
        <v>0.90373933504115445</v>
      </c>
      <c r="H1250" s="1" cm="1">
        <f t="array" ref="H1250">SUMPRODUCT(("T_C-ICE-DSL-S2"=[1]OUT_TransportEnergyCons!$A$3:$A$1000)*1,("var_fout"=[1]OUT_TransportEnergyCons!$B$3:$B$1000)*1,ISNUMBER(SEARCH("TPCAR",[1]OUT_TransportEnergyCons!$C$3:$C$1000))*1,[1]OUT_TransportEnergyCons!F$3:F$1000)</f>
        <v>0.65023957887820727</v>
      </c>
      <c r="I1250" s="1" cm="1">
        <f t="array" ref="I1250">SUMPRODUCT(("T_C-ICE-DSL-S2"=[1]OUT_TransportEnergyCons!$A$3:$A$1000)*1,("var_fout"=[1]OUT_TransportEnergyCons!$B$3:$B$1000)*1,ISNUMBER(SEARCH("TPCAR",[1]OUT_TransportEnergyCons!$C$3:$C$1000))*1,[1]OUT_TransportEnergyCons!G$3:G$1000)</f>
        <v>0.63478860074226218</v>
      </c>
      <c r="J1250" s="1" cm="1">
        <f t="array" ref="J1250">SUMPRODUCT(("T_C-ICE-DSL-S2"=[1]OUT_TransportEnergyCons!$A$3:$A$1000)*1,("var_fout"=[1]OUT_TransportEnergyCons!$B$3:$B$1000)*1,ISNUMBER(SEARCH("TPCAR",[1]OUT_TransportEnergyCons!$C$3:$C$1000))*1,[1]OUT_TransportEnergyCons!H$3:H$1000)</f>
        <v>1.9885289678540303E-4</v>
      </c>
      <c r="K1250" s="1" cm="1">
        <f t="array" ref="K1250">SUMPRODUCT(("T_C-ICE-DSL-S2"=[1]OUT_TransportEnergyCons!$A$3:$A$1000)*1,("var_fout"=[1]OUT_TransportEnergyCons!$B$3:$B$1000)*1,ISNUMBER(SEARCH("TPCAR",[1]OUT_TransportEnergyCons!$C$3:$C$1000))*1,[1]OUT_TransportEnergyCons!I$3:I$1000)</f>
        <v>0</v>
      </c>
    </row>
    <row r="1251" spans="2:11" x14ac:dyDescent="0.35">
      <c r="B1251" s="5" t="str">
        <f t="shared" si="771"/>
        <v>SPS2</v>
      </c>
      <c r="C1251" s="5" t="str">
        <f t="shared" si="774"/>
        <v>CH</v>
      </c>
      <c r="D1251" t="s">
        <v>1171</v>
      </c>
      <c r="E1251" t="str">
        <f t="shared" si="773"/>
        <v>billion km/yr.</v>
      </c>
      <c r="F1251" s="1" cm="1">
        <f t="array" ref="F1251">SUMPRODUCT(("T_C-ICE-DSL-S3"=[1]OUT_TransportEnergyCons!$A$3:$A$1000)*1,("var_fout"=[1]OUT_TransportEnergyCons!$B$3:$B$1000)*1,ISNUMBER(SEARCH("TPCAR",[1]OUT_TransportEnergyCons!$C$3:$C$1000))*1,[1]OUT_TransportEnergyCons!D$3:D$1000)</f>
        <v>2.1938028153378122</v>
      </c>
      <c r="G1251" s="1" cm="1">
        <f t="array" ref="G1251">SUMPRODUCT(("T_C-ICE-DSL-S3"=[1]OUT_TransportEnergyCons!$A$3:$A$1000)*1,("var_fout"=[1]OUT_TransportEnergyCons!$B$3:$B$1000)*1,ISNUMBER(SEARCH("TPCAR",[1]OUT_TransportEnergyCons!$C$3:$C$1000))*1,[1]OUT_TransportEnergyCons!E$3:E$1000)</f>
        <v>2.8365104868921067</v>
      </c>
      <c r="H1251" s="1" cm="1">
        <f t="array" ref="H1251">SUMPRODUCT(("T_C-ICE-DSL-S3"=[1]OUT_TransportEnergyCons!$A$3:$A$1000)*1,("var_fout"=[1]OUT_TransportEnergyCons!$B$3:$B$1000)*1,ISNUMBER(SEARCH("TPCAR",[1]OUT_TransportEnergyCons!$C$3:$C$1000))*1,[1]OUT_TransportEnergyCons!F$3:F$1000)</f>
        <v>2.8069438128477517</v>
      </c>
      <c r="I1251" s="1" cm="1">
        <f t="array" ref="I1251">SUMPRODUCT(("T_C-ICE-DSL-S3"=[1]OUT_TransportEnergyCons!$A$3:$A$1000)*1,("var_fout"=[1]OUT_TransportEnergyCons!$B$3:$B$1000)*1,ISNUMBER(SEARCH("TPCAR",[1]OUT_TransportEnergyCons!$C$3:$C$1000))*1,[1]OUT_TransportEnergyCons!G$3:G$1000)</f>
        <v>2.1813625159078742</v>
      </c>
      <c r="J1251" s="1" cm="1">
        <f t="array" ref="J1251">SUMPRODUCT(("T_C-ICE-DSL-S3"=[1]OUT_TransportEnergyCons!$A$3:$A$1000)*1,("var_fout"=[1]OUT_TransportEnergyCons!$B$3:$B$1000)*1,ISNUMBER(SEARCH("TPCAR",[1]OUT_TransportEnergyCons!$C$3:$C$1000))*1,[1]OUT_TransportEnergyCons!H$3:H$1000)</f>
        <v>1.6012510376006394E-4</v>
      </c>
      <c r="K1251" s="1" cm="1">
        <f t="array" ref="K1251">SUMPRODUCT(("T_C-ICE-DSL-S3"=[1]OUT_TransportEnergyCons!$A$3:$A$1000)*1,("var_fout"=[1]OUT_TransportEnergyCons!$B$3:$B$1000)*1,ISNUMBER(SEARCH("TPCAR",[1]OUT_TransportEnergyCons!$C$3:$C$1000))*1,[1]OUT_TransportEnergyCons!I$3:I$1000)</f>
        <v>0</v>
      </c>
    </row>
    <row r="1252" spans="2:11" x14ac:dyDescent="0.35">
      <c r="B1252" s="5" t="str">
        <f t="shared" si="771"/>
        <v>SPS2</v>
      </c>
      <c r="C1252" s="5" t="str">
        <f t="shared" si="774"/>
        <v>CH</v>
      </c>
      <c r="D1252" t="s">
        <v>1172</v>
      </c>
      <c r="E1252" t="str">
        <f t="shared" si="773"/>
        <v>billion km/yr.</v>
      </c>
      <c r="F1252" s="1" cm="1">
        <f t="array" ref="F1252">SUMPRODUCT(("T_C-ICE-DSL-S4"=[1]OUT_TransportEnergyCons!$A$3:$A$1000)*1,("var_fout"=[1]OUT_TransportEnergyCons!$B$3:$B$1000)*1,ISNUMBER(SEARCH("TPCAR",[1]OUT_TransportEnergyCons!$C$3:$C$1000))*1,[1]OUT_TransportEnergyCons!D$3:D$1000)</f>
        <v>0.90271456906051695</v>
      </c>
      <c r="G1252" s="1" cm="1">
        <f t="array" ref="G1252">SUMPRODUCT(("T_C-ICE-DSL-S4"=[1]OUT_TransportEnergyCons!$A$3:$A$1000)*1,("var_fout"=[1]OUT_TransportEnergyCons!$B$3:$B$1000)*1,ISNUMBER(SEARCH("TPCAR",[1]OUT_TransportEnergyCons!$C$3:$C$1000))*1,[1]OUT_TransportEnergyCons!E$3:E$1000)</f>
        <v>1.0074176607361702</v>
      </c>
      <c r="H1252" s="1" cm="1">
        <f t="array" ref="H1252">SUMPRODUCT(("T_C-ICE-DSL-S4"=[1]OUT_TransportEnergyCons!$A$3:$A$1000)*1,("var_fout"=[1]OUT_TransportEnergyCons!$B$3:$B$1000)*1,ISNUMBER(SEARCH("TPCAR",[1]OUT_TransportEnergyCons!$C$3:$C$1000))*1,[1]OUT_TransportEnergyCons!F$3:F$1000)</f>
        <v>0.99155346238608399</v>
      </c>
      <c r="I1252" s="1" cm="1">
        <f t="array" ref="I1252">SUMPRODUCT(("T_C-ICE-DSL-S4"=[1]OUT_TransportEnergyCons!$A$3:$A$1000)*1,("var_fout"=[1]OUT_TransportEnergyCons!$B$3:$B$1000)*1,ISNUMBER(SEARCH("TPCAR",[1]OUT_TransportEnergyCons!$C$3:$C$1000))*1,[1]OUT_TransportEnergyCons!G$3:G$1000)</f>
        <v>0.71273443734832875</v>
      </c>
      <c r="J1252" s="1" cm="1">
        <f t="array" ref="J1252">SUMPRODUCT(("T_C-ICE-DSL-S4"=[1]OUT_TransportEnergyCons!$A$3:$A$1000)*1,("var_fout"=[1]OUT_TransportEnergyCons!$B$3:$B$1000)*1,ISNUMBER(SEARCH("TPCAR",[1]OUT_TransportEnergyCons!$C$3:$C$1000))*1,[1]OUT_TransportEnergyCons!H$3:H$1000)</f>
        <v>1.050464139260843E-4</v>
      </c>
      <c r="K1252" s="1" cm="1">
        <f t="array" ref="K1252">SUMPRODUCT(("T_C-ICE-DSL-S4"=[1]OUT_TransportEnergyCons!$A$3:$A$1000)*1,("var_fout"=[1]OUT_TransportEnergyCons!$B$3:$B$1000)*1,ISNUMBER(SEARCH("TPCAR",[1]OUT_TransportEnergyCons!$C$3:$C$1000))*1,[1]OUT_TransportEnergyCons!I$3:I$1000)</f>
        <v>0</v>
      </c>
    </row>
    <row r="1253" spans="2:11" x14ac:dyDescent="0.35">
      <c r="B1253" s="5" t="str">
        <f t="shared" si="771"/>
        <v>SPS2</v>
      </c>
      <c r="C1253" s="5" t="str">
        <f t="shared" si="774"/>
        <v>CH</v>
      </c>
      <c r="D1253" t="s">
        <v>1173</v>
      </c>
      <c r="E1253" t="str">
        <f t="shared" si="773"/>
        <v>billion km/yr.</v>
      </c>
      <c r="F1253" s="1" cm="1">
        <f t="array" ref="F1253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3" s="1" cm="1">
        <f t="array" ref="G1253">SUMPRODUCT(("T_C-MHY-DSL-S1"=[1]OUT_TransportEnergyCons!$A$3:$A$1000)*1,("var_fout"=[1]OUT_TransportEnergyCons!$B$3:$B$1000)*1,ISNUMBER(SEARCH("TPCAR",[1]OUT_TransportEnergyCons!$C$3:$C$1000))*1,[1]OUT_TransportEnergyCons!E$3:E$1000)</f>
        <v>4.8378920559917049E-4</v>
      </c>
      <c r="H1253" s="1" cm="1">
        <f t="array" ref="H1253">SUMPRODUCT(("T_C-MHY-DSL-S1"=[1]OUT_TransportEnergyCons!$A$3:$A$1000)*1,("var_fout"=[1]OUT_TransportEnergyCons!$B$3:$B$1000)*1,ISNUMBER(SEARCH("TPCAR",[1]OUT_TransportEnergyCons!$C$3:$C$1000))*1,[1]OUT_TransportEnergyCons!F$3:F$1000)</f>
        <v>8.8051050180854452E-4</v>
      </c>
      <c r="I1253" s="1" cm="1">
        <f t="array" ref="I1253">SUMPRODUCT(("T_C-MHY-DSL-S1"=[1]OUT_TransportEnergyCons!$A$3:$A$1000)*1,("var_fout"=[1]OUT_TransportEnergyCons!$B$3:$B$1000)*1,ISNUMBER(SEARCH("TPCAR",[1]OUT_TransportEnergyCons!$C$3:$C$1000))*1,[1]OUT_TransportEnergyCons!G$3:G$1000)</f>
        <v>1.1969953513115694E-3</v>
      </c>
      <c r="J1253" s="1" cm="1">
        <f t="array" ref="J1253">SUMPRODUCT(("T_C-MHY-DSL-S1"=[1]OUT_TransportEnergyCons!$A$3:$A$1000)*1,("var_fout"=[1]OUT_TransportEnergyCons!$B$3:$B$1000)*1,ISNUMBER(SEARCH("TPCAR",[1]OUT_TransportEnergyCons!$C$3:$C$1000))*1,[1]OUT_TransportEnergyCons!H$3:H$1000)</f>
        <v>2.1418575579136852E-4</v>
      </c>
      <c r="K1253" s="1" cm="1">
        <f t="array" ref="K1253">SUMPRODUCT(("T_C-MHY-DSL-S1"=[1]OUT_TransportEnergyCons!$A$3:$A$1000)*1,("var_fout"=[1]OUT_TransportEnergyCons!$B$3:$B$1000)*1,ISNUMBER(SEARCH("TPCAR",[1]OUT_TransportEnergyCons!$C$3:$C$1000))*1,[1]OUT_TransportEnergyCons!I$3:I$1000)</f>
        <v>0</v>
      </c>
    </row>
    <row r="1254" spans="2:11" x14ac:dyDescent="0.35">
      <c r="B1254" s="5" t="str">
        <f t="shared" si="771"/>
        <v>SPS2</v>
      </c>
      <c r="C1254" s="5" t="str">
        <f t="shared" si="774"/>
        <v>CH</v>
      </c>
      <c r="D1254" t="s">
        <v>1174</v>
      </c>
      <c r="E1254" t="str">
        <f t="shared" si="773"/>
        <v>billion km/yr.</v>
      </c>
      <c r="F1254" s="1" cm="1">
        <f t="array" ref="F1254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4" s="1" cm="1">
        <f t="array" ref="G1254">SUMPRODUCT(("T_C-MHY-DSL-S2"=[1]OUT_TransportEnergyCons!$A$3:$A$1000)*1,("var_fout"=[1]OUT_TransportEnergyCons!$B$3:$B$1000)*1,ISNUMBER(SEARCH("TPCAR",[1]OUT_TransportEnergyCons!$C$3:$C$1000))*1,[1]OUT_TransportEnergyCons!E$3:E$1000)</f>
        <v>3.1780584100202312E-4</v>
      </c>
      <c r="H1254" s="1" cm="1">
        <f t="array" ref="H1254">SUMPRODUCT(("T_C-MHY-DSL-S2"=[1]OUT_TransportEnergyCons!$A$3:$A$1000)*1,("var_fout"=[1]OUT_TransportEnergyCons!$B$3:$B$1000)*1,ISNUMBER(SEARCH("TPCAR",[1]OUT_TransportEnergyCons!$C$3:$C$1000))*1,[1]OUT_TransportEnergyCons!F$3:F$1000)</f>
        <v>8.6012353083112739E-4</v>
      </c>
      <c r="I1254" s="1" cm="1">
        <f t="array" ref="I1254">SUMPRODUCT(("T_C-MHY-DSL-S2"=[1]OUT_TransportEnergyCons!$A$3:$A$1000)*1,("var_fout"=[1]OUT_TransportEnergyCons!$B$3:$B$1000)*1,ISNUMBER(SEARCH("TPCAR",[1]OUT_TransportEnergyCons!$C$3:$C$1000))*1,[1]OUT_TransportEnergyCons!G$3:G$1000)</f>
        <v>1.0770911936659891E-3</v>
      </c>
      <c r="J1254" s="1" cm="1">
        <f t="array" ref="J1254">SUMPRODUCT(("T_C-MHY-DSL-S2"=[1]OUT_TransportEnergyCons!$A$3:$A$1000)*1,("var_fout"=[1]OUT_TransportEnergyCons!$B$3:$B$1000)*1,ISNUMBER(SEARCH("TPCAR",[1]OUT_TransportEnergyCons!$C$3:$C$1000))*1,[1]OUT_TransportEnergyCons!H$3:H$1000)</f>
        <v>1.6627630839476706E-4</v>
      </c>
      <c r="K1254" s="1" cm="1">
        <f t="array" ref="K1254">SUMPRODUCT(("T_C-MHY-DSL-S2"=[1]OUT_TransportEnergyCons!$A$3:$A$1000)*1,("var_fout"=[1]OUT_TransportEnergyCons!$B$3:$B$1000)*1,ISNUMBER(SEARCH("TPCAR",[1]OUT_TransportEnergyCons!$C$3:$C$1000))*1,[1]OUT_TransportEnergyCons!I$3:I$1000)</f>
        <v>0</v>
      </c>
    </row>
    <row r="1255" spans="2:11" x14ac:dyDescent="0.35">
      <c r="B1255" s="5" t="str">
        <f t="shared" si="771"/>
        <v>SPS2</v>
      </c>
      <c r="C1255" s="5" t="str">
        <f t="shared" si="774"/>
        <v>CH</v>
      </c>
      <c r="D1255" t="s">
        <v>1175</v>
      </c>
      <c r="E1255" t="str">
        <f t="shared" si="773"/>
        <v>billion km/yr.</v>
      </c>
      <c r="F1255" s="1" cm="1">
        <f t="array" ref="F1255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SUMPRODUCT(("T_C-MHY-DSL-S3"=[1]OUT_TransportEnergyCons!$A$3:$A$1000)*1,("var_fout"=[1]OUT_TransportEnergyCons!$B$3:$B$1000)*1,ISNUMBER(SEARCH("TPCAR",[1]OUT_TransportEnergyCons!$C$3:$C$1000))*1,[1]OUT_TransportEnergyCons!E$3:E$1000)</f>
        <v>3.7051963762347407E-4</v>
      </c>
      <c r="H1255" s="1" cm="1">
        <f t="array" ref="H1255">SUMPRODUCT(("T_C-MHY-DSL-S3"=[1]OUT_TransportEnergyCons!$A$3:$A$1000)*1,("var_fout"=[1]OUT_TransportEnergyCons!$B$3:$B$1000)*1,ISNUMBER(SEARCH("TPCAR",[1]OUT_TransportEnergyCons!$C$3:$C$1000))*1,[1]OUT_TransportEnergyCons!F$3:F$1000)</f>
        <v>8.9819681371460598E-4</v>
      </c>
      <c r="I1255" s="1" cm="1">
        <f t="array" ref="I1255">SUMPRODUCT(("T_C-MHY-DSL-S3"=[1]OUT_TransportEnergyCons!$A$3:$A$1000)*1,("var_fout"=[1]OUT_TransportEnergyCons!$B$3:$B$1000)*1,ISNUMBER(SEARCH("TPCAR",[1]OUT_TransportEnergyCons!$C$3:$C$1000))*1,[1]OUT_TransportEnergyCons!G$3:G$1000)</f>
        <v>1.0523508368413823E-3</v>
      </c>
      <c r="J1255" s="1" cm="1">
        <f t="array" ref="J1255">SUMPRODUCT(("T_C-MHY-DSL-S3"=[1]OUT_TransportEnergyCons!$A$3:$A$1000)*1,("var_fout"=[1]OUT_TransportEnergyCons!$B$3:$B$1000)*1,ISNUMBER(SEARCH("TPCAR",[1]OUT_TransportEnergyCons!$C$3:$C$1000))*1,[1]OUT_TransportEnergyCons!H$3:H$1000)</f>
        <v>1.5051148014614177E-4</v>
      </c>
      <c r="K1255" s="1" cm="1">
        <f t="array" ref="K1255">SUMPRODUCT(("T_C-MHY-DSL-S3"=[1]OUT_TransportEnergyCons!$A$3:$A$1000)*1,("var_fout"=[1]OUT_TransportEnergyCons!$B$3:$B$1000)*1,ISNUMBER(SEARCH("TPCAR",[1]OUT_TransportEnergyCons!$C$3:$C$1000))*1,[1]OUT_TransportEnergyCons!I$3:I$1000)</f>
        <v>0</v>
      </c>
    </row>
    <row r="1256" spans="2:11" x14ac:dyDescent="0.35">
      <c r="B1256" s="5" t="str">
        <f t="shared" si="771"/>
        <v>SPS2</v>
      </c>
      <c r="C1256" s="5" t="str">
        <f t="shared" si="774"/>
        <v>CH</v>
      </c>
      <c r="D1256" t="s">
        <v>1176</v>
      </c>
      <c r="E1256" t="str">
        <f t="shared" si="773"/>
        <v>billion km/yr.</v>
      </c>
      <c r="F1256" s="1" cm="1">
        <f t="array" ref="F1256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SUMPRODUCT(("T_C-MHY-DSL-S4"=[1]OUT_TransportEnergyCons!$A$3:$A$1000)*1,("var_fout"=[1]OUT_TransportEnergyCons!$B$3:$B$1000)*1,ISNUMBER(SEARCH("TPCAR",[1]OUT_TransportEnergyCons!$C$3:$C$1000))*1,[1]OUT_TransportEnergyCons!E$3:E$1000)</f>
        <v>2.7453150050397258E-4</v>
      </c>
      <c r="H1256" s="1" cm="1">
        <f t="array" ref="H1256">SUMPRODUCT(("T_C-MHY-DSL-S4"=[1]OUT_TransportEnergyCons!$A$3:$A$1000)*1,("var_fout"=[1]OUT_TransportEnergyCons!$B$3:$B$1000)*1,ISNUMBER(SEARCH("TPCAR",[1]OUT_TransportEnergyCons!$C$3:$C$1000))*1,[1]OUT_TransportEnergyCons!F$3:F$1000)</f>
        <v>6.3052162313845337E-4</v>
      </c>
      <c r="I1256" s="1" cm="1">
        <f t="array" ref="I1256">SUMPRODUCT(("T_C-MHY-DSL-S4"=[1]OUT_TransportEnergyCons!$A$3:$A$1000)*1,("var_fout"=[1]OUT_TransportEnergyCons!$B$3:$B$1000)*1,ISNUMBER(SEARCH("TPCAR",[1]OUT_TransportEnergyCons!$C$3:$C$1000))*1,[1]OUT_TransportEnergyCons!G$3:G$1000)</f>
        <v>7.4390989463436025E-4</v>
      </c>
      <c r="J1256" s="1" cm="1">
        <f t="array" ref="J1256">SUMPRODUCT(("T_C-MHY-DSL-S4"=[1]OUT_TransportEnergyCons!$A$3:$A$1000)*1,("var_fout"=[1]OUT_TransportEnergyCons!$B$3:$B$1000)*1,ISNUMBER(SEARCH("TPCAR",[1]OUT_TransportEnergyCons!$C$3:$C$1000))*1,[1]OUT_TransportEnergyCons!H$3:H$1000)</f>
        <v>1.1074693822130691E-4</v>
      </c>
      <c r="K1256" s="1" cm="1">
        <f t="array" ref="K1256">SUMPRODUCT(("T_C-MHY-DSL-S4"=[1]OUT_TransportEnergyCons!$A$3:$A$1000)*1,("var_fout"=[1]OUT_TransportEnergyCons!$B$3:$B$1000)*1,ISNUMBER(SEARCH("TPCAR",[1]OUT_TransportEnergyCons!$C$3:$C$1000))*1,[1]OUT_TransportEnergyCons!I$3:I$1000)</f>
        <v>0</v>
      </c>
    </row>
    <row r="1257" spans="2:11" x14ac:dyDescent="0.35">
      <c r="B1257" s="5" t="str">
        <f t="shared" si="771"/>
        <v>SPS2</v>
      </c>
      <c r="C1257" s="5" t="str">
        <f t="shared" si="774"/>
        <v>CH</v>
      </c>
      <c r="D1257" t="s">
        <v>1177</v>
      </c>
      <c r="E1257" t="str">
        <f t="shared" si="773"/>
        <v>billion km/yr.</v>
      </c>
      <c r="F1257" s="1" cm="1">
        <f t="array" ref="F1257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7" s="1" cm="1">
        <f t="array" ref="H1257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7" s="1" cm="1">
        <f t="array" ref="I1257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7" s="1" cm="1">
        <f t="array" ref="J1257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7" s="1" cm="1">
        <f t="array" ref="K1257">SUMPRODUCT(("T_C-ICENGAEXT"=[1]OUT_TransportEnergyCons!$A$3:$A$1000)*1,("var_fout"=[1]OUT_TransportEnergyCons!$B$3:$B$1000)*1,ISNUMBER(SEARCH("TPCAR",[1]OUT_TransportEnergyCons!$C$3:$C$1000))*1,[1]OUT_TransportEnergyCons!I$3:I$1000)</f>
        <v>0</v>
      </c>
    </row>
    <row r="1258" spans="2:11" x14ac:dyDescent="0.35">
      <c r="B1258" s="5" t="str">
        <f t="shared" si="771"/>
        <v>SPS2</v>
      </c>
      <c r="C1258" s="5" t="str">
        <f t="shared" si="774"/>
        <v>CH</v>
      </c>
      <c r="D1258" t="s">
        <v>1178</v>
      </c>
      <c r="E1258" t="str">
        <f t="shared" si="773"/>
        <v>billion km/yr.</v>
      </c>
      <c r="F1258" s="1" cm="1">
        <f t="array" ref="F1258">SUMPRODUCT(("T_C-ICE-NGA-S1"=[1]OUT_TransportEnergyCons!$A$3:$A$1000)*1,("var_fout"=[1]OUT_TransportEnergyCons!$B$3:$B$1000)*1,ISNUMBER(SEARCH("TPCAR",[1]OUT_TransportEnergyCons!$C$3:$C$1000))*1,[1]OUT_TransportEnergyCons!D$3:D$1000)</f>
        <v>2.1883148096393497E-3</v>
      </c>
      <c r="G1258" s="1" cm="1">
        <f t="array" ref="G1258">SUMPRODUCT(("T_C-ICE-NGA-S1"=[1]OUT_TransportEnergyCons!$A$3:$A$1000)*1,("var_fout"=[1]OUT_TransportEnergyCons!$B$3:$B$1000)*1,ISNUMBER(SEARCH("TPCAR",[1]OUT_TransportEnergyCons!$C$3:$C$1000))*1,[1]OUT_TransportEnergyCons!E$3:E$1000)</f>
        <v>1.553389444576875E-3</v>
      </c>
      <c r="H1258" s="1" cm="1">
        <f t="array" ref="H1258">SUMPRODUCT(("T_C-ICE-NGA-S1"=[1]OUT_TransportEnergyCons!$A$3:$A$1000)*1,("var_fout"=[1]OUT_TransportEnergyCons!$B$3:$B$1000)*1,ISNUMBER(SEARCH("TPCAR",[1]OUT_TransportEnergyCons!$C$3:$C$1000))*1,[1]OUT_TransportEnergyCons!F$3:F$1000)</f>
        <v>1.3385339157964548E-3</v>
      </c>
      <c r="I1258" s="1" cm="1">
        <f t="array" ref="I1258">SUMPRODUCT(("T_C-ICE-NGA-S1"=[1]OUT_TransportEnergyCons!$A$3:$A$1000)*1,("var_fout"=[1]OUT_TransportEnergyCons!$B$3:$B$1000)*1,ISNUMBER(SEARCH("TPCAR",[1]OUT_TransportEnergyCons!$C$3:$C$1000))*1,[1]OUT_TransportEnergyCons!G$3:G$1000)</f>
        <v>4.0120174145127566E-4</v>
      </c>
      <c r="J1258" s="1" cm="1">
        <f t="array" ref="J1258">SUMPRODUCT(("T_C-ICE-NGA-S1"=[1]OUT_TransportEnergyCons!$A$3:$A$1000)*1,("var_fout"=[1]OUT_TransportEnergyCons!$B$3:$B$1000)*1,ISNUMBER(SEARCH("TPCAR",[1]OUT_TransportEnergyCons!$C$3:$C$1000))*1,[1]OUT_TransportEnergyCons!H$3:H$1000)</f>
        <v>2.8988070759759066E-5</v>
      </c>
      <c r="K1258" s="1" cm="1">
        <f t="array" ref="K1258">SUMPRODUCT(("T_C-ICE-NGA-S1"=[1]OUT_TransportEnergyCons!$A$3:$A$1000)*1,("var_fout"=[1]OUT_TransportEnergyCons!$B$3:$B$1000)*1,ISNUMBER(SEARCH("TPCAR",[1]OUT_TransportEnergyCons!$C$3:$C$1000))*1,[1]OUT_TransportEnergyCons!I$3:I$1000)</f>
        <v>0</v>
      </c>
    </row>
    <row r="1259" spans="2:11" x14ac:dyDescent="0.35">
      <c r="B1259" s="5" t="str">
        <f t="shared" si="771"/>
        <v>SPS2</v>
      </c>
      <c r="C1259" s="5" t="str">
        <f t="shared" si="774"/>
        <v>CH</v>
      </c>
      <c r="D1259" t="s">
        <v>1179</v>
      </c>
      <c r="E1259" t="str">
        <f t="shared" si="773"/>
        <v>billion km/yr.</v>
      </c>
      <c r="F1259" s="1" cm="1">
        <f t="array" ref="F1259">SUMPRODUCT(("T_C-ICE-NGA-S2"=[1]OUT_TransportEnergyCons!$A$3:$A$1000)*1,("var_fout"=[1]OUT_TransportEnergyCons!$B$3:$B$1000)*1,ISNUMBER(SEARCH("TPCAR",[1]OUT_TransportEnergyCons!$C$3:$C$1000))*1,[1]OUT_TransportEnergyCons!D$3:D$1000)</f>
        <v>3.3174142274789618E-2</v>
      </c>
      <c r="G1259" s="1" cm="1">
        <f t="array" ref="G1259">SUMPRODUCT(("T_C-ICE-NGA-S2"=[1]OUT_TransportEnergyCons!$A$3:$A$1000)*1,("var_fout"=[1]OUT_TransportEnergyCons!$B$3:$B$1000)*1,ISNUMBER(SEARCH("TPCAR",[1]OUT_TransportEnergyCons!$C$3:$C$1000))*1,[1]OUT_TransportEnergyCons!E$3:E$1000)</f>
        <v>3.5618856215093787E-2</v>
      </c>
      <c r="H1259" s="1" cm="1">
        <f t="array" ref="H1259">SUMPRODUCT(("T_C-ICE-NGA-S2"=[1]OUT_TransportEnergyCons!$A$3:$A$1000)*1,("var_fout"=[1]OUT_TransportEnergyCons!$B$3:$B$1000)*1,ISNUMBER(SEARCH("TPCAR",[1]OUT_TransportEnergyCons!$C$3:$C$1000))*1,[1]OUT_TransportEnergyCons!F$3:F$1000)</f>
        <v>3.5554141147123304E-2</v>
      </c>
      <c r="I1259" s="1" cm="1">
        <f t="array" ref="I1259">SUMPRODUCT(("T_C-ICE-NGA-S2"=[1]OUT_TransportEnergyCons!$A$3:$A$1000)*1,("var_fout"=[1]OUT_TransportEnergyCons!$B$3:$B$1000)*1,ISNUMBER(SEARCH("TPCAR",[1]OUT_TransportEnergyCons!$C$3:$C$1000))*1,[1]OUT_TransportEnergyCons!G$3:G$1000)</f>
        <v>9.9681701826079077E-4</v>
      </c>
      <c r="J1259" s="1" cm="1">
        <f t="array" ref="J1259">SUMPRODUCT(("T_C-ICE-NGA-S2"=[1]OUT_TransportEnergyCons!$A$3:$A$1000)*1,("var_fout"=[1]OUT_TransportEnergyCons!$B$3:$B$1000)*1,ISNUMBER(SEARCH("TPCAR",[1]OUT_TransportEnergyCons!$C$3:$C$1000))*1,[1]OUT_TransportEnergyCons!H$3:H$1000)</f>
        <v>3.7724218579397414E-5</v>
      </c>
      <c r="K1259" s="1" cm="1">
        <f t="array" ref="K1259">SUMPRODUCT(("T_C-ICE-NGA-S2"=[1]OUT_TransportEnergyCons!$A$3:$A$1000)*1,("var_fout"=[1]OUT_TransportEnergyCons!$B$3:$B$1000)*1,ISNUMBER(SEARCH("TPCAR",[1]OUT_TransportEnergyCons!$C$3:$C$1000))*1,[1]OUT_TransportEnergyCons!I$3:I$1000)</f>
        <v>0</v>
      </c>
    </row>
    <row r="1260" spans="2:11" x14ac:dyDescent="0.35">
      <c r="B1260" s="5" t="str">
        <f t="shared" si="771"/>
        <v>SPS2</v>
      </c>
      <c r="C1260" s="5" t="str">
        <f t="shared" si="774"/>
        <v>CH</v>
      </c>
      <c r="D1260" t="s">
        <v>1180</v>
      </c>
      <c r="E1260" t="str">
        <f t="shared" si="773"/>
        <v>billion km/yr.</v>
      </c>
      <c r="F1260" s="1" cm="1">
        <f t="array" ref="F1260">SUMPRODUCT(("T_C-ICE-NGA-S3"=[1]OUT_TransportEnergyCons!$A$3:$A$1000)*1,("var_fout"=[1]OUT_TransportEnergyCons!$B$3:$B$1000)*1,ISNUMBER(SEARCH("TPCAR",[1]OUT_TransportEnergyCons!$C$3:$C$1000))*1,[1]OUT_TransportEnergyCons!D$3:D$1000)</f>
        <v>1.9589687378076073E-3</v>
      </c>
      <c r="G1260" s="1" cm="1">
        <f t="array" ref="G1260">SUMPRODUCT(("T_C-ICE-NGA-S3"=[1]OUT_TransportEnergyCons!$A$3:$A$1000)*1,("var_fout"=[1]OUT_TransportEnergyCons!$B$3:$B$1000)*1,ISNUMBER(SEARCH("TPCAR",[1]OUT_TransportEnergyCons!$C$3:$C$1000))*1,[1]OUT_TransportEnergyCons!E$3:E$1000)</f>
        <v>2.3071957724398844E-3</v>
      </c>
      <c r="H1260" s="1" cm="1">
        <f t="array" ref="H1260">SUMPRODUCT(("T_C-ICE-NGA-S3"=[1]OUT_TransportEnergyCons!$A$3:$A$1000)*1,("var_fout"=[1]OUT_TransportEnergyCons!$B$3:$B$1000)*1,ISNUMBER(SEARCH("TPCAR",[1]OUT_TransportEnergyCons!$C$3:$C$1000))*1,[1]OUT_TransportEnergyCons!F$3:F$1000)</f>
        <v>2.4617403288687244E-3</v>
      </c>
      <c r="I1260" s="1" cm="1">
        <f t="array" ref="I1260">SUMPRODUCT(("T_C-ICE-NGA-S3"=[1]OUT_TransportEnergyCons!$A$3:$A$1000)*1,("var_fout"=[1]OUT_TransportEnergyCons!$B$3:$B$1000)*1,ISNUMBER(SEARCH("TPCAR",[1]OUT_TransportEnergyCons!$C$3:$C$1000))*1,[1]OUT_TransportEnergyCons!G$3:G$1000)</f>
        <v>8.703687360595106E-4</v>
      </c>
      <c r="J1260" s="1" cm="1">
        <f t="array" ref="J1260">SUMPRODUCT(("T_C-ICE-NGA-S3"=[1]OUT_TransportEnergyCons!$A$3:$A$1000)*1,("var_fout"=[1]OUT_TransportEnergyCons!$B$3:$B$1000)*1,ISNUMBER(SEARCH("TPCAR",[1]OUT_TransportEnergyCons!$C$3:$C$1000))*1,[1]OUT_TransportEnergyCons!H$3:H$1000)</f>
        <v>4.5159956196744972E-5</v>
      </c>
      <c r="K1260" s="1" cm="1">
        <f t="array" ref="K1260">SUMPRODUCT(("T_C-ICE-NGA-S3"=[1]OUT_TransportEnergyCons!$A$3:$A$1000)*1,("var_fout"=[1]OUT_TransportEnergyCons!$B$3:$B$1000)*1,ISNUMBER(SEARCH("TPCAR",[1]OUT_TransportEnergyCons!$C$3:$C$1000))*1,[1]OUT_TransportEnergyCons!I$3:I$1000)</f>
        <v>0</v>
      </c>
    </row>
    <row r="1261" spans="2:11" x14ac:dyDescent="0.35">
      <c r="B1261" s="5" t="str">
        <f t="shared" si="771"/>
        <v>SPS2</v>
      </c>
      <c r="C1261" s="5" t="str">
        <f t="shared" si="774"/>
        <v>CH</v>
      </c>
      <c r="D1261" t="s">
        <v>1181</v>
      </c>
      <c r="E1261" t="str">
        <f t="shared" si="773"/>
        <v>billion km/yr.</v>
      </c>
      <c r="F1261" s="1" cm="1">
        <f t="array" ref="F1261">SUMPRODUCT(("T_C-ICE-NGA-S4"=[1]OUT_TransportEnergyCons!$A$3:$A$1000)*1,("var_fout"=[1]OUT_TransportEnergyCons!$B$3:$B$1000)*1,ISNUMBER(SEARCH("TPCAR",[1]OUT_TransportEnergyCons!$C$3:$C$1000))*1,[1]OUT_TransportEnergyCons!D$3:D$1000)</f>
        <v>3.285204710995477E-2</v>
      </c>
      <c r="G1261" s="1" cm="1">
        <f t="array" ref="G1261">SUMPRODUCT(("T_C-ICE-NGA-S4"=[1]OUT_TransportEnergyCons!$A$3:$A$1000)*1,("var_fout"=[1]OUT_TransportEnergyCons!$B$3:$B$1000)*1,ISNUMBER(SEARCH("TPCAR",[1]OUT_TransportEnergyCons!$C$3:$C$1000))*1,[1]OUT_TransportEnergyCons!E$3:E$1000)</f>
        <v>3.2231478383249752E-2</v>
      </c>
      <c r="H1261" s="1" cm="1">
        <f t="array" ref="H1261">SUMPRODUCT(("T_C-ICE-NGA-S4"=[1]OUT_TransportEnergyCons!$A$3:$A$1000)*1,("var_fout"=[1]OUT_TransportEnergyCons!$B$3:$B$1000)*1,ISNUMBER(SEARCH("TPCAR",[1]OUT_TransportEnergyCons!$C$3:$C$1000))*1,[1]OUT_TransportEnergyCons!F$3:F$1000)</f>
        <v>3.0025357592683686E-2</v>
      </c>
      <c r="I1261" s="1" cm="1">
        <f t="array" ref="I1261">SUMPRODUCT(("T_C-ICE-NGA-S4"=[1]OUT_TransportEnergyCons!$A$3:$A$1000)*1,("var_fout"=[1]OUT_TransportEnergyCons!$B$3:$B$1000)*1,ISNUMBER(SEARCH("TPCAR",[1]OUT_TransportEnergyCons!$C$3:$C$1000))*1,[1]OUT_TransportEnergyCons!G$3:G$1000)</f>
        <v>6.7521424575082598E-4</v>
      </c>
      <c r="J1261" s="1" cm="1">
        <f t="array" ref="J1261">SUMPRODUCT(("T_C-ICE-NGA-S4"=[1]OUT_TransportEnergyCons!$A$3:$A$1000)*1,("var_fout"=[1]OUT_TransportEnergyCons!$B$3:$B$1000)*1,ISNUMBER(SEARCH("TPCAR",[1]OUT_TransportEnergyCons!$C$3:$C$1000))*1,[1]OUT_TransportEnergyCons!H$3:H$1000)</f>
        <v>4.0629829064841857E-5</v>
      </c>
      <c r="K1261" s="1" cm="1">
        <f t="array" ref="K1261">SUMPRODUCT(("T_C-ICE-NGA-S4"=[1]OUT_TransportEnergyCons!$A$3:$A$1000)*1,("var_fout"=[1]OUT_TransportEnergyCons!$B$3:$B$1000)*1,ISNUMBER(SEARCH("TPCAR",[1]OUT_TransportEnergyCons!$C$3:$C$1000))*1,[1]OUT_TransportEnergyCons!I$3:I$1000)</f>
        <v>0</v>
      </c>
    </row>
    <row r="1262" spans="2:11" x14ac:dyDescent="0.35">
      <c r="B1262" s="5" t="str">
        <f t="shared" si="771"/>
        <v>SPS2</v>
      </c>
      <c r="C1262" s="5" t="str">
        <f t="shared" si="774"/>
        <v>CH</v>
      </c>
      <c r="D1262" s="2" t="s">
        <v>1131</v>
      </c>
      <c r="E1262" s="2" t="s">
        <v>1230</v>
      </c>
      <c r="F1262" s="21" t="s">
        <v>292</v>
      </c>
      <c r="G1262" s="21" t="s">
        <v>292</v>
      </c>
      <c r="H1262" s="21" t="s">
        <v>292</v>
      </c>
      <c r="I1262" s="21" t="s">
        <v>292</v>
      </c>
      <c r="J1262" s="21" t="s">
        <v>292</v>
      </c>
      <c r="K1262" s="21" t="s">
        <v>292</v>
      </c>
    </row>
    <row r="1263" spans="2:11" x14ac:dyDescent="0.35">
      <c r="B1263" s="5" t="str">
        <f t="shared" si="771"/>
        <v>SPS2</v>
      </c>
      <c r="C1263" s="5" t="str">
        <f>C1262</f>
        <v>CH</v>
      </c>
      <c r="D1263" t="s">
        <v>1182</v>
      </c>
      <c r="E1263" t="str">
        <f>E1262</f>
        <v>km/MJ</v>
      </c>
      <c r="F1263" s="1">
        <f t="shared" ref="F1263:K1267" si="775">IFERROR(F1212/F1136,"-")</f>
        <v>0.88951199431361494</v>
      </c>
      <c r="G1263" s="1">
        <f t="shared" si="775"/>
        <v>0.95694536964701926</v>
      </c>
      <c r="H1263" s="1">
        <f t="shared" si="775"/>
        <v>1.0580954326471252</v>
      </c>
      <c r="I1263" s="1">
        <f t="shared" si="775"/>
        <v>1.2266788709806389</v>
      </c>
      <c r="J1263" s="1" t="str">
        <f t="shared" si="775"/>
        <v>-</v>
      </c>
      <c r="K1263" s="1" t="str">
        <f t="shared" si="775"/>
        <v>-</v>
      </c>
    </row>
    <row r="1264" spans="2:11" x14ac:dyDescent="0.35">
      <c r="B1264" s="5" t="str">
        <f t="shared" si="771"/>
        <v>SPS2</v>
      </c>
      <c r="C1264" s="5" t="str">
        <f t="shared" ref="C1264:C1312" si="776">C1263</f>
        <v>CH</v>
      </c>
      <c r="D1264" t="s">
        <v>1183</v>
      </c>
      <c r="E1264" t="str">
        <f t="shared" ref="E1264:E1312" si="777">E1263</f>
        <v>km/MJ</v>
      </c>
      <c r="F1264" s="1">
        <f t="shared" si="775"/>
        <v>1.811671973506447</v>
      </c>
      <c r="G1264" s="1">
        <f t="shared" si="775"/>
        <v>1.8116719735064484</v>
      </c>
      <c r="H1264" s="1">
        <f t="shared" si="775"/>
        <v>1.811671973506449</v>
      </c>
      <c r="I1264" s="1">
        <f t="shared" si="775"/>
        <v>1.8116719735064504</v>
      </c>
      <c r="J1264" s="1">
        <f t="shared" si="775"/>
        <v>1.9247495079101755</v>
      </c>
      <c r="K1264" s="1">
        <f t="shared" si="775"/>
        <v>2.1140034001712262</v>
      </c>
    </row>
    <row r="1265" spans="2:11" x14ac:dyDescent="0.35">
      <c r="B1265" s="5" t="str">
        <f t="shared" si="771"/>
        <v>SPS2</v>
      </c>
      <c r="C1265" s="5" t="str">
        <f t="shared" si="776"/>
        <v>CH</v>
      </c>
      <c r="D1265" t="s">
        <v>1184</v>
      </c>
      <c r="E1265" t="str">
        <f t="shared" si="777"/>
        <v>km/MJ</v>
      </c>
      <c r="F1265" s="1">
        <f t="shared" si="775"/>
        <v>1.4637982671179681</v>
      </c>
      <c r="G1265" s="1">
        <f t="shared" si="775"/>
        <v>1.4637982671179706</v>
      </c>
      <c r="H1265" s="1">
        <f t="shared" si="775"/>
        <v>1.4637982671179692</v>
      </c>
      <c r="I1265" s="1">
        <f t="shared" si="775"/>
        <v>1.463798267117969</v>
      </c>
      <c r="J1265" s="1">
        <f t="shared" si="775"/>
        <v>1.5577457374106836</v>
      </c>
      <c r="K1265" s="1">
        <f t="shared" si="775"/>
        <v>1.7170793698437818</v>
      </c>
    </row>
    <row r="1266" spans="2:11" x14ac:dyDescent="0.35">
      <c r="B1266" s="5" t="str">
        <f t="shared" si="771"/>
        <v>SPS2</v>
      </c>
      <c r="C1266" s="5" t="str">
        <f t="shared" si="776"/>
        <v>CH</v>
      </c>
      <c r="D1266" t="s">
        <v>1185</v>
      </c>
      <c r="E1266" t="str">
        <f t="shared" si="777"/>
        <v>km/MJ</v>
      </c>
      <c r="F1266" s="1">
        <f t="shared" si="775"/>
        <v>1.3374527251491999</v>
      </c>
      <c r="G1266" s="1">
        <f t="shared" si="775"/>
        <v>1.3374527251492003</v>
      </c>
      <c r="H1266" s="1">
        <f t="shared" si="775"/>
        <v>1.3374527251491999</v>
      </c>
      <c r="I1266" s="1">
        <f t="shared" si="775"/>
        <v>1.3374527251492005</v>
      </c>
      <c r="J1266" s="1">
        <f t="shared" si="775"/>
        <v>1.4670787062314918</v>
      </c>
      <c r="K1266" s="1">
        <f t="shared" si="775"/>
        <v>1.6045790392471353</v>
      </c>
    </row>
    <row r="1267" spans="2:11" x14ac:dyDescent="0.35">
      <c r="B1267" s="5" t="str">
        <f t="shared" si="771"/>
        <v>SPS2</v>
      </c>
      <c r="C1267" s="5" t="str">
        <f t="shared" si="776"/>
        <v>CH</v>
      </c>
      <c r="D1267" t="s">
        <v>1186</v>
      </c>
      <c r="E1267" t="str">
        <f t="shared" si="777"/>
        <v>km/MJ</v>
      </c>
      <c r="F1267" s="1">
        <f t="shared" si="775"/>
        <v>1.2949729235430798</v>
      </c>
      <c r="G1267" s="1">
        <f t="shared" si="775"/>
        <v>1.2949729235430789</v>
      </c>
      <c r="H1267" s="1">
        <f t="shared" si="775"/>
        <v>1.29497292354308</v>
      </c>
      <c r="I1267" s="1">
        <f t="shared" si="775"/>
        <v>1.2949729235430802</v>
      </c>
      <c r="J1267" s="1">
        <f t="shared" si="775"/>
        <v>1.3789711608892483</v>
      </c>
      <c r="K1267" s="1">
        <f t="shared" si="775"/>
        <v>1.5227020856761548</v>
      </c>
    </row>
    <row r="1268" spans="2:11" x14ac:dyDescent="0.35">
      <c r="B1268" s="5" t="str">
        <f t="shared" ref="B1268:B1331" si="778">B1267</f>
        <v>SPS2</v>
      </c>
      <c r="C1268" s="5" t="str">
        <f t="shared" si="776"/>
        <v>CH</v>
      </c>
      <c r="D1268" t="s">
        <v>1187</v>
      </c>
      <c r="E1268" t="str">
        <f t="shared" si="777"/>
        <v>km/MJ</v>
      </c>
      <c r="F1268" s="1">
        <f t="shared" ref="F1268:K1271" si="779">IFERROR(F1217/SUM(F1141,F1174),"-")</f>
        <v>0.71059726086254094</v>
      </c>
      <c r="G1268" s="1">
        <f t="shared" si="779"/>
        <v>0.76021331682515736</v>
      </c>
      <c r="H1268" s="1">
        <f t="shared" si="779"/>
        <v>0.77159182988135899</v>
      </c>
      <c r="I1268" s="1">
        <f t="shared" si="779"/>
        <v>0.81256446873072063</v>
      </c>
      <c r="J1268" s="1">
        <f t="shared" si="779"/>
        <v>0.94622929563935465</v>
      </c>
      <c r="K1268" s="1">
        <f t="shared" si="779"/>
        <v>1.1317479172701477</v>
      </c>
    </row>
    <row r="1269" spans="2:11" x14ac:dyDescent="0.35">
      <c r="B1269" s="5" t="str">
        <f t="shared" si="778"/>
        <v>SPS2</v>
      </c>
      <c r="C1269" s="5" t="str">
        <f t="shared" si="776"/>
        <v>CH</v>
      </c>
      <c r="D1269" t="s">
        <v>1188</v>
      </c>
      <c r="E1269" t="str">
        <f t="shared" si="777"/>
        <v>km/MJ</v>
      </c>
      <c r="F1269" s="1">
        <f t="shared" si="779"/>
        <v>0.627511299450219</v>
      </c>
      <c r="G1269" s="1">
        <f t="shared" si="779"/>
        <v>0.63280420257337855</v>
      </c>
      <c r="H1269" s="1">
        <f t="shared" si="779"/>
        <v>0.63238935408425945</v>
      </c>
      <c r="I1269" s="1">
        <f t="shared" si="779"/>
        <v>0.68363823678092539</v>
      </c>
      <c r="J1269" s="1">
        <f t="shared" si="779"/>
        <v>0.79324864428876785</v>
      </c>
      <c r="K1269" s="1">
        <f t="shared" si="779"/>
        <v>1.0103436639126022</v>
      </c>
    </row>
    <row r="1270" spans="2:11" x14ac:dyDescent="0.35">
      <c r="B1270" s="5" t="str">
        <f t="shared" si="778"/>
        <v>SPS2</v>
      </c>
      <c r="C1270" s="5" t="str">
        <f t="shared" si="776"/>
        <v>CH</v>
      </c>
      <c r="D1270" t="s">
        <v>1189</v>
      </c>
      <c r="E1270" t="str">
        <f t="shared" si="777"/>
        <v>km/MJ</v>
      </c>
      <c r="F1270" s="1">
        <f t="shared" si="779"/>
        <v>0.54553543515705172</v>
      </c>
      <c r="G1270" s="1">
        <f t="shared" si="779"/>
        <v>0.60403572960634822</v>
      </c>
      <c r="H1270" s="1">
        <f t="shared" si="779"/>
        <v>0.61793533568705783</v>
      </c>
      <c r="I1270" s="1">
        <f t="shared" si="779"/>
        <v>0.66531991175399496</v>
      </c>
      <c r="J1270" s="1">
        <f t="shared" si="779"/>
        <v>0.8034356784933242</v>
      </c>
      <c r="K1270" s="1">
        <f t="shared" si="779"/>
        <v>1.0586980856368542</v>
      </c>
    </row>
    <row r="1271" spans="2:11" x14ac:dyDescent="0.35">
      <c r="B1271" s="5" t="str">
        <f t="shared" si="778"/>
        <v>SPS2</v>
      </c>
      <c r="C1271" s="5" t="str">
        <f t="shared" si="776"/>
        <v>CH</v>
      </c>
      <c r="D1271" t="s">
        <v>1190</v>
      </c>
      <c r="E1271" t="str">
        <f t="shared" si="777"/>
        <v>km/MJ</v>
      </c>
      <c r="F1271" s="1">
        <f t="shared" si="779"/>
        <v>0.51975568473665845</v>
      </c>
      <c r="G1271" s="1">
        <f t="shared" si="779"/>
        <v>0.57146944810273004</v>
      </c>
      <c r="H1271" s="1">
        <f t="shared" si="779"/>
        <v>0.53431674547831931</v>
      </c>
      <c r="I1271" s="1">
        <f t="shared" si="779"/>
        <v>0.6253422379863286</v>
      </c>
      <c r="J1271" s="1">
        <f t="shared" si="779"/>
        <v>0.75466330677863092</v>
      </c>
      <c r="K1271" s="1">
        <f t="shared" si="779"/>
        <v>0.93401112644092343</v>
      </c>
    </row>
    <row r="1272" spans="2:11" x14ac:dyDescent="0.35">
      <c r="B1272" s="5" t="str">
        <f t="shared" si="778"/>
        <v>SPS2</v>
      </c>
      <c r="C1272" s="5" t="str">
        <f t="shared" si="776"/>
        <v>CH</v>
      </c>
      <c r="D1272" t="s">
        <v>1191</v>
      </c>
      <c r="E1272" t="str">
        <f t="shared" si="777"/>
        <v>km/MJ</v>
      </c>
      <c r="F1272" s="1">
        <f t="shared" ref="F1272:K1275" si="780">IFERROR(F1221/SUM(F1145,F1197),"-")</f>
        <v>0.72840569582556913</v>
      </c>
      <c r="G1272" s="1">
        <f t="shared" si="780"/>
        <v>0.77184207641472713</v>
      </c>
      <c r="H1272" s="1">
        <f t="shared" si="780"/>
        <v>0.78436974419144401</v>
      </c>
      <c r="I1272" s="1">
        <f t="shared" si="780"/>
        <v>0.82723498879622481</v>
      </c>
      <c r="J1272" s="1">
        <f t="shared" si="780"/>
        <v>0.96242942930599107</v>
      </c>
      <c r="K1272" s="1">
        <f t="shared" si="780"/>
        <v>1.1478331383911289</v>
      </c>
    </row>
    <row r="1273" spans="2:11" x14ac:dyDescent="0.35">
      <c r="B1273" s="5" t="str">
        <f t="shared" si="778"/>
        <v>SPS2</v>
      </c>
      <c r="C1273" s="5" t="str">
        <f t="shared" si="776"/>
        <v>CH</v>
      </c>
      <c r="D1273" t="s">
        <v>1192</v>
      </c>
      <c r="E1273" t="str">
        <f t="shared" si="777"/>
        <v>km/MJ</v>
      </c>
      <c r="F1273" s="1">
        <f t="shared" si="780"/>
        <v>0.23830647521827544</v>
      </c>
      <c r="G1273" s="1">
        <f t="shared" si="780"/>
        <v>0.63920463685512918</v>
      </c>
      <c r="H1273" s="1">
        <f t="shared" si="780"/>
        <v>0.64986695834072883</v>
      </c>
      <c r="I1273" s="1">
        <f t="shared" si="780"/>
        <v>0.69311136917293825</v>
      </c>
      <c r="J1273" s="1">
        <f t="shared" si="780"/>
        <v>0.80533996235825134</v>
      </c>
      <c r="K1273" s="1">
        <f t="shared" si="780"/>
        <v>1.0207114021119961</v>
      </c>
    </row>
    <row r="1274" spans="2:11" x14ac:dyDescent="0.35">
      <c r="B1274" s="5" t="str">
        <f t="shared" si="778"/>
        <v>SPS2</v>
      </c>
      <c r="C1274" s="5" t="str">
        <f t="shared" si="776"/>
        <v>CH</v>
      </c>
      <c r="D1274" t="s">
        <v>1193</v>
      </c>
      <c r="E1274" t="str">
        <f t="shared" si="777"/>
        <v>km/MJ</v>
      </c>
      <c r="F1274" s="1">
        <f t="shared" si="780"/>
        <v>0.55060194202034862</v>
      </c>
      <c r="G1274" s="1">
        <f t="shared" si="780"/>
        <v>0.61189511142510256</v>
      </c>
      <c r="H1274" s="1">
        <f t="shared" si="780"/>
        <v>0.62626324808306655</v>
      </c>
      <c r="I1274" s="1">
        <f t="shared" si="780"/>
        <v>0.67374102972547723</v>
      </c>
      <c r="J1274" s="1">
        <f t="shared" si="780"/>
        <v>0.83378198401716785</v>
      </c>
      <c r="K1274" s="1">
        <f t="shared" si="780"/>
        <v>1.0668493079398704</v>
      </c>
    </row>
    <row r="1275" spans="2:11" x14ac:dyDescent="0.35">
      <c r="B1275" s="5" t="str">
        <f t="shared" si="778"/>
        <v>SPS2</v>
      </c>
      <c r="C1275" s="5" t="str">
        <f t="shared" si="776"/>
        <v>CH</v>
      </c>
      <c r="D1275" t="s">
        <v>1194</v>
      </c>
      <c r="E1275" t="str">
        <f t="shared" si="777"/>
        <v>km/MJ</v>
      </c>
      <c r="F1275" s="1">
        <f t="shared" si="780"/>
        <v>0.52693578259474594</v>
      </c>
      <c r="G1275" s="1">
        <f t="shared" si="780"/>
        <v>0.57889266245504345</v>
      </c>
      <c r="H1275" s="1">
        <f t="shared" si="780"/>
        <v>0.55829395558966433</v>
      </c>
      <c r="I1275" s="1">
        <f t="shared" si="780"/>
        <v>0.63295975795504855</v>
      </c>
      <c r="J1275" s="1">
        <f t="shared" si="780"/>
        <v>0.76298066585204016</v>
      </c>
      <c r="K1275" s="1">
        <f t="shared" si="780"/>
        <v>0.94289066558060697</v>
      </c>
    </row>
    <row r="1276" spans="2:11" x14ac:dyDescent="0.35">
      <c r="B1276" s="5" t="str">
        <f t="shared" si="778"/>
        <v>SPS2</v>
      </c>
      <c r="C1276" s="5" t="str">
        <f t="shared" si="776"/>
        <v>CH</v>
      </c>
      <c r="D1276" t="s">
        <v>1195</v>
      </c>
      <c r="E1276" t="str">
        <f t="shared" si="777"/>
        <v>km/MJ</v>
      </c>
      <c r="F1276" s="1" t="str">
        <f>IFERROR(F1225/F1151,"-")</f>
        <v>-</v>
      </c>
      <c r="G1276" s="1">
        <f t="shared" ref="G1276:K1276" si="781">IFERROR(G1225/G1151,"-")</f>
        <v>1.09656966561652</v>
      </c>
      <c r="H1276" s="1">
        <f t="shared" si="781"/>
        <v>1.0965696656165211</v>
      </c>
      <c r="I1276" s="1">
        <f t="shared" si="781"/>
        <v>1.0965696656165216</v>
      </c>
      <c r="J1276" s="1">
        <f t="shared" si="781"/>
        <v>1.190378311317676</v>
      </c>
      <c r="K1276" s="1">
        <f t="shared" si="781"/>
        <v>1.3098606133362287</v>
      </c>
    </row>
    <row r="1277" spans="2:11" x14ac:dyDescent="0.35">
      <c r="B1277" s="5" t="str">
        <f t="shared" si="778"/>
        <v>SPS2</v>
      </c>
      <c r="C1277" s="5" t="str">
        <f t="shared" si="776"/>
        <v>CH</v>
      </c>
      <c r="D1277" t="s">
        <v>1196</v>
      </c>
      <c r="E1277" t="str">
        <f t="shared" si="777"/>
        <v>km/MJ</v>
      </c>
      <c r="F1277" s="1">
        <f t="shared" ref="F1277:K1277" si="782">IFERROR(F1226/F1152,"-")</f>
        <v>0.89149519806162081</v>
      </c>
      <c r="G1277" s="1">
        <f t="shared" si="782"/>
        <v>0.89149519806162159</v>
      </c>
      <c r="H1277" s="1">
        <f t="shared" si="782"/>
        <v>0.89149519806162136</v>
      </c>
      <c r="I1277" s="1">
        <f t="shared" si="782"/>
        <v>0.89149519806162081</v>
      </c>
      <c r="J1277" s="1">
        <f t="shared" si="782"/>
        <v>0.96988252696394672</v>
      </c>
      <c r="K1277" s="1">
        <f t="shared" si="782"/>
        <v>1.0774607000954182</v>
      </c>
    </row>
    <row r="1278" spans="2:11" x14ac:dyDescent="0.35">
      <c r="B1278" s="5" t="str">
        <f t="shared" si="778"/>
        <v>SPS2</v>
      </c>
      <c r="C1278" s="5" t="str">
        <f t="shared" si="776"/>
        <v>CH</v>
      </c>
      <c r="D1278" t="s">
        <v>1197</v>
      </c>
      <c r="E1278" t="str">
        <f t="shared" si="777"/>
        <v>km/MJ</v>
      </c>
      <c r="F1278" s="1">
        <f t="shared" ref="F1278:K1278" si="783">IFERROR(F1227/F1153,"-")</f>
        <v>0.83000507256490552</v>
      </c>
      <c r="G1278" s="1">
        <f t="shared" si="783"/>
        <v>0.83000507256490497</v>
      </c>
      <c r="H1278" s="1">
        <f t="shared" si="783"/>
        <v>0.83000507256490685</v>
      </c>
      <c r="I1278" s="1">
        <f t="shared" si="783"/>
        <v>0.83000507256490863</v>
      </c>
      <c r="J1278" s="1">
        <f t="shared" si="783"/>
        <v>0.90219605581071372</v>
      </c>
      <c r="K1278" s="1">
        <f t="shared" si="783"/>
        <v>1.0078045098206048</v>
      </c>
    </row>
    <row r="1279" spans="2:11" x14ac:dyDescent="0.35">
      <c r="B1279" s="5" t="str">
        <f t="shared" si="778"/>
        <v>SPS2</v>
      </c>
      <c r="C1279" s="5" t="str">
        <f t="shared" si="776"/>
        <v>CH</v>
      </c>
      <c r="D1279" t="s">
        <v>1198</v>
      </c>
      <c r="E1279" t="str">
        <f t="shared" si="777"/>
        <v>km/MJ</v>
      </c>
      <c r="F1279" s="1" t="str">
        <f t="shared" ref="F1279:K1279" si="784">IFERROR(F1228/F1154,"-")</f>
        <v>-</v>
      </c>
      <c r="G1279" s="1">
        <f t="shared" si="784"/>
        <v>0.83675282096654247</v>
      </c>
      <c r="H1279" s="1">
        <f t="shared" si="784"/>
        <v>0.83675282096654102</v>
      </c>
      <c r="I1279" s="1">
        <f t="shared" si="784"/>
        <v>0.83675282096654224</v>
      </c>
      <c r="J1279" s="1">
        <f t="shared" si="784"/>
        <v>0.90683930966536719</v>
      </c>
      <c r="K1279" s="1">
        <f t="shared" si="784"/>
        <v>1.0059375272001885</v>
      </c>
    </row>
    <row r="1280" spans="2:11" x14ac:dyDescent="0.35">
      <c r="B1280" s="5" t="str">
        <f t="shared" si="778"/>
        <v>SPS2</v>
      </c>
      <c r="C1280" s="5" t="str">
        <f t="shared" si="776"/>
        <v>CH</v>
      </c>
      <c r="D1280" t="s">
        <v>1233</v>
      </c>
      <c r="E1280" t="str">
        <f t="shared" si="777"/>
        <v>km/MJ</v>
      </c>
      <c r="F1280" s="1">
        <f t="shared" ref="F1280:K1293" si="785">IFERROR(F1229/F1160,"-")</f>
        <v>0.49379534694678234</v>
      </c>
      <c r="G1280" s="1">
        <f t="shared" si="785"/>
        <v>0.50503220860251374</v>
      </c>
      <c r="H1280" s="1">
        <f t="shared" si="785"/>
        <v>0.52188750108610948</v>
      </c>
      <c r="I1280" s="1">
        <f t="shared" si="785"/>
        <v>0.54997965522543613</v>
      </c>
      <c r="J1280" s="1" t="str">
        <f t="shared" si="785"/>
        <v>-</v>
      </c>
      <c r="K1280" s="1" t="str">
        <f t="shared" si="785"/>
        <v>-</v>
      </c>
    </row>
    <row r="1281" spans="2:11" x14ac:dyDescent="0.35">
      <c r="B1281" s="5" t="str">
        <f t="shared" si="778"/>
        <v>SPS2</v>
      </c>
      <c r="C1281" s="5" t="str">
        <f t="shared" si="776"/>
        <v>CH</v>
      </c>
      <c r="D1281" t="s">
        <v>1199</v>
      </c>
      <c r="E1281" t="str">
        <f t="shared" si="777"/>
        <v>km/MJ</v>
      </c>
      <c r="F1281" s="1">
        <f t="shared" si="785"/>
        <v>1.1826425423103983</v>
      </c>
      <c r="G1281" s="1">
        <f t="shared" si="785"/>
        <v>1.1687866575806729</v>
      </c>
      <c r="H1281" s="1">
        <f t="shared" si="785"/>
        <v>1.165227228227663</v>
      </c>
      <c r="I1281" s="1">
        <f t="shared" si="785"/>
        <v>1.204181252113167</v>
      </c>
      <c r="J1281" s="1">
        <f t="shared" si="785"/>
        <v>0.94480714693696621</v>
      </c>
      <c r="K1281" s="1" t="str">
        <f t="shared" si="785"/>
        <v>-</v>
      </c>
    </row>
    <row r="1282" spans="2:11" x14ac:dyDescent="0.35">
      <c r="B1282" s="5" t="str">
        <f t="shared" si="778"/>
        <v>SPS2</v>
      </c>
      <c r="C1282" s="5" t="str">
        <f t="shared" si="776"/>
        <v>CH</v>
      </c>
      <c r="D1282" t="s">
        <v>1200</v>
      </c>
      <c r="E1282" t="str">
        <f t="shared" si="777"/>
        <v>km/MJ</v>
      </c>
      <c r="F1282" s="1">
        <f t="shared" si="785"/>
        <v>1.5520853908377554</v>
      </c>
      <c r="G1282" s="1">
        <f t="shared" si="785"/>
        <v>2.1107027280812387</v>
      </c>
      <c r="H1282" s="1">
        <f t="shared" si="785"/>
        <v>1.9595262272475482</v>
      </c>
      <c r="I1282" s="1">
        <f t="shared" si="785"/>
        <v>1.9448600419090205</v>
      </c>
      <c r="J1282" s="1">
        <f t="shared" si="785"/>
        <v>1.8510215029458579</v>
      </c>
      <c r="K1282" s="1" t="str">
        <f t="shared" si="785"/>
        <v>-</v>
      </c>
    </row>
    <row r="1283" spans="2:11" x14ac:dyDescent="0.35">
      <c r="B1283" s="5" t="str">
        <f t="shared" si="778"/>
        <v>SPS2</v>
      </c>
      <c r="C1283" s="5" t="str">
        <f t="shared" si="776"/>
        <v>CH</v>
      </c>
      <c r="D1283" t="s">
        <v>1201</v>
      </c>
      <c r="E1283" t="str">
        <f t="shared" si="777"/>
        <v>km/MJ</v>
      </c>
      <c r="F1283" s="1">
        <f t="shared" si="785"/>
        <v>1.8992097223800486</v>
      </c>
      <c r="G1283" s="1">
        <f t="shared" si="785"/>
        <v>2.491564771806003</v>
      </c>
      <c r="H1283" s="1">
        <f t="shared" si="785"/>
        <v>2.4883730894495062</v>
      </c>
      <c r="I1283" s="1">
        <f t="shared" si="785"/>
        <v>2.5052090198521442</v>
      </c>
      <c r="J1283" s="1">
        <f t="shared" si="785"/>
        <v>1.0156983487007494</v>
      </c>
      <c r="K1283" s="1" t="str">
        <f t="shared" si="785"/>
        <v>-</v>
      </c>
    </row>
    <row r="1284" spans="2:11" x14ac:dyDescent="0.35">
      <c r="B1284" s="5" t="str">
        <f t="shared" si="778"/>
        <v>SPS2</v>
      </c>
      <c r="C1284" s="5" t="str">
        <f t="shared" si="776"/>
        <v>CH</v>
      </c>
      <c r="D1284" t="s">
        <v>1202</v>
      </c>
      <c r="E1284" t="str">
        <f t="shared" si="777"/>
        <v>km/MJ</v>
      </c>
      <c r="F1284" s="1">
        <f t="shared" si="785"/>
        <v>1.1470444504119854</v>
      </c>
      <c r="G1284" s="1">
        <f t="shared" si="785"/>
        <v>1.3318336830275945</v>
      </c>
      <c r="H1284" s="1">
        <f t="shared" si="785"/>
        <v>1.3288289568656679</v>
      </c>
      <c r="I1284" s="1">
        <f t="shared" si="785"/>
        <v>1.3409264864646115</v>
      </c>
      <c r="J1284" s="1">
        <f t="shared" si="785"/>
        <v>0.84901078755948778</v>
      </c>
      <c r="K1284" s="1" t="str">
        <f t="shared" si="785"/>
        <v>-</v>
      </c>
    </row>
    <row r="1285" spans="2:11" x14ac:dyDescent="0.35">
      <c r="B1285" s="5" t="str">
        <f t="shared" si="778"/>
        <v>SPS2</v>
      </c>
      <c r="C1285" s="5" t="str">
        <f t="shared" si="776"/>
        <v>CH</v>
      </c>
      <c r="D1285" t="s">
        <v>1203</v>
      </c>
      <c r="E1285" t="str">
        <f t="shared" si="777"/>
        <v>km/MJ</v>
      </c>
      <c r="F1285" s="1">
        <f t="shared" si="785"/>
        <v>0.28603940550919521</v>
      </c>
      <c r="G1285" s="1">
        <f t="shared" si="785"/>
        <v>0.29254854993039736</v>
      </c>
      <c r="H1285" s="1">
        <f t="shared" si="785"/>
        <v>0.30231226656220089</v>
      </c>
      <c r="I1285" s="1">
        <f t="shared" si="785"/>
        <v>0.31858512761520635</v>
      </c>
      <c r="J1285" s="1" t="str">
        <f t="shared" si="785"/>
        <v>-</v>
      </c>
      <c r="K1285" s="1" t="str">
        <f t="shared" si="785"/>
        <v>-</v>
      </c>
    </row>
    <row r="1286" spans="2:11" x14ac:dyDescent="0.35">
      <c r="B1286" s="5" t="str">
        <f t="shared" si="778"/>
        <v>SPS2</v>
      </c>
      <c r="C1286" s="5" t="str">
        <f t="shared" si="776"/>
        <v>CH</v>
      </c>
      <c r="D1286" t="s">
        <v>1204</v>
      </c>
      <c r="E1286" t="str">
        <f t="shared" si="777"/>
        <v>km/MJ</v>
      </c>
      <c r="F1286" s="1">
        <f t="shared" si="785"/>
        <v>0.6835740927067544</v>
      </c>
      <c r="G1286" s="1">
        <f t="shared" si="785"/>
        <v>0.67527800653613934</v>
      </c>
      <c r="H1286" s="1">
        <f t="shared" si="785"/>
        <v>0.6221477212432579</v>
      </c>
      <c r="I1286" s="1">
        <f t="shared" si="785"/>
        <v>0.62182104686331374</v>
      </c>
      <c r="J1286" s="1">
        <f t="shared" si="785"/>
        <v>0.59892584843789365</v>
      </c>
      <c r="K1286" s="1" t="str">
        <f t="shared" si="785"/>
        <v>-</v>
      </c>
    </row>
    <row r="1287" spans="2:11" x14ac:dyDescent="0.35">
      <c r="B1287" s="5" t="str">
        <f t="shared" si="778"/>
        <v>SPS2</v>
      </c>
      <c r="C1287" s="5" t="str">
        <f t="shared" si="776"/>
        <v>CH</v>
      </c>
      <c r="D1287" t="s">
        <v>1205</v>
      </c>
      <c r="E1287" t="str">
        <f t="shared" si="777"/>
        <v>km/MJ</v>
      </c>
      <c r="F1287" s="1">
        <f t="shared" si="785"/>
        <v>0.60190783098343337</v>
      </c>
      <c r="G1287" s="1">
        <f t="shared" si="785"/>
        <v>0.60445976101622378</v>
      </c>
      <c r="H1287" s="1">
        <f t="shared" si="785"/>
        <v>0.58648843104414961</v>
      </c>
      <c r="I1287" s="1">
        <f t="shared" si="785"/>
        <v>0.58803007135551022</v>
      </c>
      <c r="J1287" s="1">
        <f t="shared" si="785"/>
        <v>0.55350339861643516</v>
      </c>
      <c r="K1287" s="1" t="str">
        <f t="shared" si="785"/>
        <v>-</v>
      </c>
    </row>
    <row r="1288" spans="2:11" x14ac:dyDescent="0.35">
      <c r="B1288" s="5" t="str">
        <f t="shared" si="778"/>
        <v>SPS2</v>
      </c>
      <c r="C1288" s="5" t="str">
        <f t="shared" si="776"/>
        <v>CH</v>
      </c>
      <c r="D1288" t="s">
        <v>1206</v>
      </c>
      <c r="E1288" t="str">
        <f t="shared" si="777"/>
        <v>km/MJ</v>
      </c>
      <c r="F1288" s="1">
        <f t="shared" si="785"/>
        <v>0.5151780135999442</v>
      </c>
      <c r="G1288" s="1">
        <f t="shared" si="785"/>
        <v>0.51602510652723732</v>
      </c>
      <c r="H1288" s="1">
        <f t="shared" si="785"/>
        <v>0.51590572397891221</v>
      </c>
      <c r="I1288" s="1">
        <f t="shared" si="785"/>
        <v>0.5201529337656976</v>
      </c>
      <c r="J1288" s="1">
        <f t="shared" si="785"/>
        <v>0.47195754247622823</v>
      </c>
      <c r="K1288" s="1" t="str">
        <f t="shared" si="785"/>
        <v>-</v>
      </c>
    </row>
    <row r="1289" spans="2:11" x14ac:dyDescent="0.35">
      <c r="B1289" s="5" t="str">
        <f t="shared" si="778"/>
        <v>SPS2</v>
      </c>
      <c r="C1289" s="5" t="str">
        <f t="shared" si="776"/>
        <v>CH</v>
      </c>
      <c r="D1289" t="s">
        <v>1207</v>
      </c>
      <c r="E1289" t="str">
        <f t="shared" si="777"/>
        <v>km/MJ</v>
      </c>
      <c r="F1289" s="1">
        <f t="shared" si="785"/>
        <v>0.43336006458808762</v>
      </c>
      <c r="G1289" s="1">
        <f t="shared" si="785"/>
        <v>0.43330020353836335</v>
      </c>
      <c r="H1289" s="1">
        <f t="shared" si="785"/>
        <v>0.43374705572612027</v>
      </c>
      <c r="I1289" s="1">
        <f t="shared" si="785"/>
        <v>0.43777474225182744</v>
      </c>
      <c r="J1289" s="1">
        <f t="shared" si="785"/>
        <v>0.43445472839938132</v>
      </c>
      <c r="K1289" s="1" t="str">
        <f t="shared" si="785"/>
        <v>-</v>
      </c>
    </row>
    <row r="1290" spans="2:11" x14ac:dyDescent="0.35">
      <c r="B1290" s="5" t="str">
        <f t="shared" si="778"/>
        <v>SPS2</v>
      </c>
      <c r="C1290" s="5" t="str">
        <f t="shared" si="776"/>
        <v>CH</v>
      </c>
      <c r="D1290" t="s">
        <v>1208</v>
      </c>
      <c r="E1290" t="str">
        <f t="shared" si="777"/>
        <v>km/MJ</v>
      </c>
      <c r="F1290" s="1" t="str">
        <f t="shared" si="785"/>
        <v>-</v>
      </c>
      <c r="G1290" s="1">
        <f t="shared" si="785"/>
        <v>0.5183762762553521</v>
      </c>
      <c r="H1290" s="1">
        <f t="shared" si="785"/>
        <v>0.53844056818983332</v>
      </c>
      <c r="I1290" s="1">
        <f t="shared" si="785"/>
        <v>0.56258012581609662</v>
      </c>
      <c r="J1290" s="1">
        <f t="shared" si="785"/>
        <v>0.59593754206102512</v>
      </c>
      <c r="K1290" s="1" t="str">
        <f t="shared" si="785"/>
        <v>-</v>
      </c>
    </row>
    <row r="1291" spans="2:11" x14ac:dyDescent="0.35">
      <c r="B1291" s="5" t="str">
        <f t="shared" si="778"/>
        <v>SPS2</v>
      </c>
      <c r="C1291" s="5" t="str">
        <f t="shared" si="776"/>
        <v>CH</v>
      </c>
      <c r="D1291" t="s">
        <v>1209</v>
      </c>
      <c r="E1291" t="str">
        <f t="shared" si="777"/>
        <v>km/MJ</v>
      </c>
      <c r="F1291" s="1" t="str">
        <f t="shared" si="785"/>
        <v>-</v>
      </c>
      <c r="G1291" s="1">
        <f t="shared" si="785"/>
        <v>0.41733711223535019</v>
      </c>
      <c r="H1291" s="1">
        <f t="shared" si="785"/>
        <v>0.43692067217112246</v>
      </c>
      <c r="I1291" s="1">
        <f t="shared" si="785"/>
        <v>0.45328311169283825</v>
      </c>
      <c r="J1291" s="1">
        <f t="shared" si="785"/>
        <v>0.47920724050722369</v>
      </c>
      <c r="K1291" s="1" t="str">
        <f t="shared" si="785"/>
        <v>-</v>
      </c>
    </row>
    <row r="1292" spans="2:11" x14ac:dyDescent="0.35">
      <c r="B1292" s="5" t="str">
        <f t="shared" si="778"/>
        <v>SPS2</v>
      </c>
      <c r="C1292" s="5" t="str">
        <f t="shared" si="776"/>
        <v>CH</v>
      </c>
      <c r="D1292" t="s">
        <v>1210</v>
      </c>
      <c r="E1292" t="str">
        <f t="shared" si="777"/>
        <v>km/MJ</v>
      </c>
      <c r="F1292" s="1" t="str">
        <f t="shared" si="785"/>
        <v>-</v>
      </c>
      <c r="G1292" s="1">
        <f t="shared" si="785"/>
        <v>0.38796990995538655</v>
      </c>
      <c r="H1292" s="1">
        <f t="shared" si="785"/>
        <v>0.40515086373365078</v>
      </c>
      <c r="I1292" s="1">
        <f t="shared" si="785"/>
        <v>0.41906181510847051</v>
      </c>
      <c r="J1292" s="1">
        <f t="shared" si="785"/>
        <v>0.44551669498066837</v>
      </c>
      <c r="K1292" s="1" t="str">
        <f t="shared" si="785"/>
        <v>-</v>
      </c>
    </row>
    <row r="1293" spans="2:11" x14ac:dyDescent="0.35">
      <c r="B1293" s="5" t="str">
        <f t="shared" si="778"/>
        <v>SPS2</v>
      </c>
      <c r="C1293" s="5" t="str">
        <f t="shared" si="776"/>
        <v>CH</v>
      </c>
      <c r="D1293" t="s">
        <v>1211</v>
      </c>
      <c r="E1293" t="str">
        <f t="shared" si="777"/>
        <v>km/MJ</v>
      </c>
      <c r="F1293" s="1" t="str">
        <f t="shared" si="785"/>
        <v>-</v>
      </c>
      <c r="G1293" s="1">
        <f t="shared" si="785"/>
        <v>0.39332458747711319</v>
      </c>
      <c r="H1293" s="1">
        <f t="shared" si="785"/>
        <v>0.41078394625905129</v>
      </c>
      <c r="I1293" s="1">
        <f t="shared" si="785"/>
        <v>0.42325194102100344</v>
      </c>
      <c r="J1293" s="1">
        <f t="shared" si="785"/>
        <v>0.44826686136592858</v>
      </c>
      <c r="K1293" s="1" t="str">
        <f t="shared" si="785"/>
        <v>-</v>
      </c>
    </row>
    <row r="1294" spans="2:11" x14ac:dyDescent="0.35">
      <c r="B1294" s="5" t="str">
        <f t="shared" si="778"/>
        <v>SPS2</v>
      </c>
      <c r="C1294" s="5" t="str">
        <f t="shared" si="776"/>
        <v>CH</v>
      </c>
      <c r="D1294" t="s">
        <v>1235</v>
      </c>
      <c r="E1294" t="str">
        <f t="shared" si="777"/>
        <v>km/MJ</v>
      </c>
      <c r="F1294" s="1" t="str">
        <f t="shared" ref="F1294:K1307" si="786">IFERROR(F1243/F1183,"-")</f>
        <v>-</v>
      </c>
      <c r="G1294" s="1" t="str">
        <f t="shared" si="786"/>
        <v>-</v>
      </c>
      <c r="H1294" s="1" t="str">
        <f t="shared" si="786"/>
        <v>-</v>
      </c>
      <c r="I1294" s="1" t="str">
        <f t="shared" si="786"/>
        <v>-</v>
      </c>
      <c r="J1294" s="1" t="str">
        <f t="shared" si="786"/>
        <v>-</v>
      </c>
      <c r="K1294" s="1" t="str">
        <f t="shared" si="786"/>
        <v>-</v>
      </c>
    </row>
    <row r="1295" spans="2:11" x14ac:dyDescent="0.35">
      <c r="B1295" s="5" t="str">
        <f t="shared" si="778"/>
        <v>SPS2</v>
      </c>
      <c r="C1295" s="5" t="str">
        <f t="shared" si="776"/>
        <v>CH</v>
      </c>
      <c r="D1295" t="s">
        <v>1212</v>
      </c>
      <c r="E1295" t="str">
        <f t="shared" si="777"/>
        <v>km/MJ</v>
      </c>
      <c r="F1295" s="1">
        <f t="shared" si="786"/>
        <v>0.41824117647058778</v>
      </c>
      <c r="G1295" s="1">
        <f t="shared" si="786"/>
        <v>1.6975427042752242</v>
      </c>
      <c r="H1295" s="1">
        <f t="shared" si="786"/>
        <v>1.6947107228413818</v>
      </c>
      <c r="I1295" s="1">
        <f t="shared" si="786"/>
        <v>1.6878636604271207</v>
      </c>
      <c r="J1295" s="1">
        <f t="shared" si="786"/>
        <v>1.0041019968395881</v>
      </c>
      <c r="K1295" s="1" t="str">
        <f t="shared" si="786"/>
        <v>-</v>
      </c>
    </row>
    <row r="1296" spans="2:11" x14ac:dyDescent="0.35">
      <c r="B1296" s="5" t="str">
        <f t="shared" si="778"/>
        <v>SPS2</v>
      </c>
      <c r="C1296" s="5" t="str">
        <f t="shared" si="776"/>
        <v>CH</v>
      </c>
      <c r="D1296" t="s">
        <v>1213</v>
      </c>
      <c r="E1296" t="str">
        <f t="shared" si="777"/>
        <v>km/MJ</v>
      </c>
      <c r="F1296" s="1">
        <f t="shared" si="786"/>
        <v>1.1842704636884793</v>
      </c>
      <c r="G1296" s="1">
        <f t="shared" si="786"/>
        <v>2.6797397794112836</v>
      </c>
      <c r="H1296" s="1">
        <f t="shared" si="786"/>
        <v>2.2326580190388765</v>
      </c>
      <c r="I1296" s="1">
        <f t="shared" si="786"/>
        <v>2.2162355298510601</v>
      </c>
      <c r="J1296" s="1">
        <f t="shared" si="786"/>
        <v>1.9469853302038747</v>
      </c>
      <c r="K1296" s="1" t="str">
        <f t="shared" si="786"/>
        <v>-</v>
      </c>
    </row>
    <row r="1297" spans="2:11" x14ac:dyDescent="0.35">
      <c r="B1297" s="5" t="str">
        <f t="shared" si="778"/>
        <v>SPS2</v>
      </c>
      <c r="C1297" s="5" t="str">
        <f t="shared" si="776"/>
        <v>CH</v>
      </c>
      <c r="D1297" t="s">
        <v>1214</v>
      </c>
      <c r="E1297" t="str">
        <f t="shared" si="777"/>
        <v>km/MJ</v>
      </c>
      <c r="F1297" s="1">
        <f t="shared" si="786"/>
        <v>0.90620037186511615</v>
      </c>
      <c r="G1297" s="1">
        <f t="shared" si="786"/>
        <v>1.2040138476806077</v>
      </c>
      <c r="H1297" s="1">
        <f t="shared" si="786"/>
        <v>1.2007224909364722</v>
      </c>
      <c r="I1297" s="1">
        <f t="shared" si="786"/>
        <v>1.2657774254073255</v>
      </c>
      <c r="J1297" s="1">
        <f t="shared" si="786"/>
        <v>0.85007737247673554</v>
      </c>
      <c r="K1297" s="1" t="str">
        <f t="shared" si="786"/>
        <v>-</v>
      </c>
    </row>
    <row r="1298" spans="2:11" x14ac:dyDescent="0.35">
      <c r="B1298" s="5" t="str">
        <f t="shared" si="778"/>
        <v>SPS2</v>
      </c>
      <c r="C1298" s="5" t="str">
        <f t="shared" si="776"/>
        <v>CH</v>
      </c>
      <c r="D1298" t="s">
        <v>1215</v>
      </c>
      <c r="E1298" t="str">
        <f t="shared" si="777"/>
        <v>km/MJ</v>
      </c>
      <c r="F1298" s="1">
        <f t="shared" si="786"/>
        <v>1.3444887591513535</v>
      </c>
      <c r="G1298" s="1">
        <f t="shared" si="786"/>
        <v>1.5808778850937353</v>
      </c>
      <c r="H1298" s="1">
        <f t="shared" si="786"/>
        <v>1.5853326065630635</v>
      </c>
      <c r="I1298" s="1">
        <f t="shared" si="786"/>
        <v>1.6130271217583918</v>
      </c>
      <c r="J1298" s="1">
        <f t="shared" si="786"/>
        <v>0.85983691925062</v>
      </c>
      <c r="K1298" s="1" t="str">
        <f t="shared" si="786"/>
        <v>-</v>
      </c>
    </row>
    <row r="1299" spans="2:11" x14ac:dyDescent="0.35">
      <c r="B1299" s="5" t="str">
        <f t="shared" si="778"/>
        <v>SPS2</v>
      </c>
      <c r="C1299" s="5" t="str">
        <f t="shared" si="776"/>
        <v>CH</v>
      </c>
      <c r="D1299" t="s">
        <v>1216</v>
      </c>
      <c r="E1299" t="str">
        <f t="shared" si="777"/>
        <v>km/MJ</v>
      </c>
      <c r="F1299" s="1">
        <f t="shared" si="786"/>
        <v>0.33901850024086028</v>
      </c>
      <c r="G1299" s="1">
        <f t="shared" si="786"/>
        <v>0.35391427166601097</v>
      </c>
      <c r="H1299" s="1">
        <f t="shared" si="786"/>
        <v>0.37625792880373715</v>
      </c>
      <c r="I1299" s="1">
        <f t="shared" si="786"/>
        <v>0.41349735736661442</v>
      </c>
      <c r="J1299" s="1" t="str">
        <f t="shared" si="786"/>
        <v>-</v>
      </c>
      <c r="K1299" s="1" t="str">
        <f t="shared" si="786"/>
        <v>-</v>
      </c>
    </row>
    <row r="1300" spans="2:11" x14ac:dyDescent="0.35">
      <c r="B1300" s="5" t="str">
        <f t="shared" si="778"/>
        <v>SPS2</v>
      </c>
      <c r="C1300" s="5" t="str">
        <f t="shared" si="776"/>
        <v>CH</v>
      </c>
      <c r="D1300" t="s">
        <v>1217</v>
      </c>
      <c r="E1300" t="str">
        <f t="shared" si="777"/>
        <v>km/MJ</v>
      </c>
      <c r="F1300" s="1">
        <f t="shared" si="786"/>
        <v>0.749461099551469</v>
      </c>
      <c r="G1300" s="1">
        <f t="shared" si="786"/>
        <v>0.81832988853410216</v>
      </c>
      <c r="H1300" s="1">
        <f t="shared" si="786"/>
        <v>0.81783516576409865</v>
      </c>
      <c r="I1300" s="1">
        <f t="shared" si="786"/>
        <v>0.81758447140771784</v>
      </c>
      <c r="J1300" s="1">
        <f t="shared" si="786"/>
        <v>0.68524242636436716</v>
      </c>
      <c r="K1300" s="1" t="str">
        <f t="shared" si="786"/>
        <v>-</v>
      </c>
    </row>
    <row r="1301" spans="2:11" x14ac:dyDescent="0.35">
      <c r="B1301" s="5" t="str">
        <f t="shared" si="778"/>
        <v>SPS2</v>
      </c>
      <c r="C1301" s="5" t="str">
        <f t="shared" si="776"/>
        <v>CH</v>
      </c>
      <c r="D1301" t="s">
        <v>1218</v>
      </c>
      <c r="E1301" t="str">
        <f t="shared" si="777"/>
        <v>km/MJ</v>
      </c>
      <c r="F1301" s="1">
        <f t="shared" si="786"/>
        <v>0.71364348836660396</v>
      </c>
      <c r="G1301" s="1">
        <f t="shared" si="786"/>
        <v>0.70381977062642842</v>
      </c>
      <c r="H1301" s="1">
        <f t="shared" si="786"/>
        <v>0.70358591788524183</v>
      </c>
      <c r="I1301" s="1">
        <f t="shared" si="786"/>
        <v>0.76216377493544107</v>
      </c>
      <c r="J1301" s="1">
        <f t="shared" si="786"/>
        <v>0.56861169941008327</v>
      </c>
      <c r="K1301" s="1" t="str">
        <f t="shared" si="786"/>
        <v>-</v>
      </c>
    </row>
    <row r="1302" spans="2:11" x14ac:dyDescent="0.35">
      <c r="B1302" s="5" t="str">
        <f t="shared" si="778"/>
        <v>SPS2</v>
      </c>
      <c r="C1302" s="5" t="str">
        <f t="shared" si="776"/>
        <v>CH</v>
      </c>
      <c r="D1302" t="s">
        <v>1219</v>
      </c>
      <c r="E1302" t="str">
        <f t="shared" si="777"/>
        <v>km/MJ</v>
      </c>
      <c r="F1302" s="1">
        <f t="shared" si="786"/>
        <v>0.53661208790301829</v>
      </c>
      <c r="G1302" s="1">
        <f t="shared" si="786"/>
        <v>0.53243300072765054</v>
      </c>
      <c r="H1302" s="1">
        <f t="shared" si="786"/>
        <v>0.53196645888711047</v>
      </c>
      <c r="I1302" s="1">
        <f t="shared" si="786"/>
        <v>0.54122864170922325</v>
      </c>
      <c r="J1302" s="1">
        <f t="shared" si="786"/>
        <v>0.48831801472632053</v>
      </c>
      <c r="K1302" s="1" t="str">
        <f t="shared" si="786"/>
        <v>-</v>
      </c>
    </row>
    <row r="1303" spans="2:11" x14ac:dyDescent="0.35">
      <c r="B1303" s="5" t="str">
        <f t="shared" si="778"/>
        <v>SPS2</v>
      </c>
      <c r="C1303" s="5" t="str">
        <f t="shared" si="776"/>
        <v>CH</v>
      </c>
      <c r="D1303" t="s">
        <v>1220</v>
      </c>
      <c r="E1303" t="str">
        <f t="shared" si="777"/>
        <v>km/MJ</v>
      </c>
      <c r="F1303" s="1">
        <f t="shared" si="786"/>
        <v>0.4660095621318443</v>
      </c>
      <c r="G1303" s="1">
        <f t="shared" si="786"/>
        <v>0.45573978393429021</v>
      </c>
      <c r="H1303" s="1">
        <f t="shared" si="786"/>
        <v>0.45675883126480593</v>
      </c>
      <c r="I1303" s="1">
        <f t="shared" si="786"/>
        <v>0.47180791005547823</v>
      </c>
      <c r="J1303" s="1">
        <f t="shared" si="786"/>
        <v>0.42166757364622032</v>
      </c>
      <c r="K1303" s="1" t="str">
        <f t="shared" si="786"/>
        <v>-</v>
      </c>
    </row>
    <row r="1304" spans="2:11" x14ac:dyDescent="0.35">
      <c r="B1304" s="5" t="str">
        <f t="shared" si="778"/>
        <v>SPS2</v>
      </c>
      <c r="C1304" s="5" t="str">
        <f t="shared" si="776"/>
        <v>CH</v>
      </c>
      <c r="D1304" t="s">
        <v>1221</v>
      </c>
      <c r="E1304" t="str">
        <f t="shared" si="777"/>
        <v>km/MJ</v>
      </c>
      <c r="F1304" s="1" t="str">
        <f t="shared" si="786"/>
        <v>-</v>
      </c>
      <c r="G1304" s="1">
        <f t="shared" si="786"/>
        <v>0.56203544748554657</v>
      </c>
      <c r="H1304" s="1">
        <f t="shared" si="786"/>
        <v>0.5794708840459164</v>
      </c>
      <c r="I1304" s="1">
        <f t="shared" si="786"/>
        <v>0.60035232134519989</v>
      </c>
      <c r="J1304" s="1">
        <f t="shared" si="786"/>
        <v>0.63080397190998849</v>
      </c>
      <c r="K1304" s="1" t="str">
        <f t="shared" si="786"/>
        <v>-</v>
      </c>
    </row>
    <row r="1305" spans="2:11" x14ac:dyDescent="0.35">
      <c r="B1305" s="5" t="str">
        <f t="shared" si="778"/>
        <v>SPS2</v>
      </c>
      <c r="C1305" s="5" t="str">
        <f t="shared" si="776"/>
        <v>CH</v>
      </c>
      <c r="D1305" t="s">
        <v>1222</v>
      </c>
      <c r="E1305" t="str">
        <f t="shared" si="777"/>
        <v>km/MJ</v>
      </c>
      <c r="F1305" s="1" t="str">
        <f t="shared" si="786"/>
        <v>-</v>
      </c>
      <c r="G1305" s="1">
        <f t="shared" si="786"/>
        <v>0.45210145766281479</v>
      </c>
      <c r="H1305" s="1">
        <f t="shared" si="786"/>
        <v>0.46908075888629192</v>
      </c>
      <c r="I1305" s="1">
        <f t="shared" si="786"/>
        <v>0.48385518247307363</v>
      </c>
      <c r="J1305" s="1">
        <f t="shared" si="786"/>
        <v>0.50811921660964154</v>
      </c>
      <c r="K1305" s="1" t="str">
        <f t="shared" si="786"/>
        <v>-</v>
      </c>
    </row>
    <row r="1306" spans="2:11" x14ac:dyDescent="0.35">
      <c r="B1306" s="5" t="str">
        <f t="shared" si="778"/>
        <v>SPS2</v>
      </c>
      <c r="C1306" s="5" t="str">
        <f t="shared" si="776"/>
        <v>CH</v>
      </c>
      <c r="D1306" t="s">
        <v>1223</v>
      </c>
      <c r="E1306" t="str">
        <f t="shared" si="777"/>
        <v>km/MJ</v>
      </c>
      <c r="F1306" s="1" t="str">
        <f t="shared" si="786"/>
        <v>-</v>
      </c>
      <c r="G1306" s="1">
        <f t="shared" si="786"/>
        <v>0.42028149632876921</v>
      </c>
      <c r="H1306" s="1">
        <f t="shared" si="786"/>
        <v>0.43511592457035503</v>
      </c>
      <c r="I1306" s="1">
        <f t="shared" si="786"/>
        <v>0.4479062070174547</v>
      </c>
      <c r="J1306" s="1">
        <f t="shared" si="786"/>
        <v>0.47253610213128977</v>
      </c>
      <c r="K1306" s="1" t="str">
        <f t="shared" si="786"/>
        <v>-</v>
      </c>
    </row>
    <row r="1307" spans="2:11" x14ac:dyDescent="0.35">
      <c r="B1307" s="5" t="str">
        <f t="shared" si="778"/>
        <v>SPS2</v>
      </c>
      <c r="C1307" s="5" t="str">
        <f t="shared" si="776"/>
        <v>CH</v>
      </c>
      <c r="D1307" t="s">
        <v>1224</v>
      </c>
      <c r="E1307" t="str">
        <f t="shared" si="777"/>
        <v>km/MJ</v>
      </c>
      <c r="F1307" s="1" t="str">
        <f t="shared" si="786"/>
        <v>-</v>
      </c>
      <c r="G1307" s="1">
        <f t="shared" si="786"/>
        <v>0.39943403925494764</v>
      </c>
      <c r="H1307" s="1">
        <f t="shared" si="786"/>
        <v>0.4128767875018986</v>
      </c>
      <c r="I1307" s="1">
        <f t="shared" si="786"/>
        <v>0.42554568136286858</v>
      </c>
      <c r="J1307" s="1">
        <f t="shared" si="786"/>
        <v>0.44865960538888161</v>
      </c>
      <c r="K1307" s="1" t="str">
        <f t="shared" si="786"/>
        <v>-</v>
      </c>
    </row>
    <row r="1308" spans="2:11" x14ac:dyDescent="0.35">
      <c r="B1308" s="5" t="str">
        <f t="shared" si="778"/>
        <v>SPS2</v>
      </c>
      <c r="C1308" s="5" t="str">
        <f t="shared" si="776"/>
        <v>CH</v>
      </c>
      <c r="D1308" t="s">
        <v>1225</v>
      </c>
      <c r="E1308" t="str">
        <f t="shared" si="777"/>
        <v>km/MJ</v>
      </c>
      <c r="F1308" s="1" t="str">
        <f>IFERROR(F1257/F1206,"-")</f>
        <v>-</v>
      </c>
      <c r="G1308" s="1">
        <f t="shared" ref="G1308:K1312" si="787">IFERROR(G1257/G1197,"-")</f>
        <v>0</v>
      </c>
      <c r="H1308" s="1">
        <f t="shared" si="787"/>
        <v>0</v>
      </c>
      <c r="I1308" s="1">
        <f t="shared" si="787"/>
        <v>0</v>
      </c>
      <c r="J1308" s="1">
        <f t="shared" si="787"/>
        <v>0</v>
      </c>
      <c r="K1308" s="1">
        <f t="shared" si="787"/>
        <v>0</v>
      </c>
    </row>
    <row r="1309" spans="2:11" x14ac:dyDescent="0.35">
      <c r="B1309" s="5" t="str">
        <f t="shared" si="778"/>
        <v>SPS2</v>
      </c>
      <c r="C1309" s="5" t="str">
        <f t="shared" si="776"/>
        <v>CH</v>
      </c>
      <c r="D1309" t="s">
        <v>1226</v>
      </c>
      <c r="E1309" t="str">
        <f t="shared" si="777"/>
        <v>km/MJ</v>
      </c>
      <c r="F1309" s="1">
        <f>IFERROR(F1258/F1207,"-")</f>
        <v>0.61545083869666506</v>
      </c>
      <c r="G1309" s="1">
        <f t="shared" si="787"/>
        <v>0.71629478512677214</v>
      </c>
      <c r="H1309" s="1">
        <f t="shared" si="787"/>
        <v>0.21672269297945637</v>
      </c>
      <c r="I1309" s="1">
        <f t="shared" si="787"/>
        <v>2.6369539577487857E-2</v>
      </c>
      <c r="J1309" s="1">
        <f t="shared" si="787"/>
        <v>9.7642175682684435E-4</v>
      </c>
      <c r="K1309" s="1">
        <f t="shared" si="787"/>
        <v>0</v>
      </c>
    </row>
    <row r="1310" spans="2:11" x14ac:dyDescent="0.35">
      <c r="B1310" s="5" t="str">
        <f t="shared" si="778"/>
        <v>SPS2</v>
      </c>
      <c r="C1310" s="5" t="str">
        <f t="shared" si="776"/>
        <v>CH</v>
      </c>
      <c r="D1310" t="s">
        <v>1227</v>
      </c>
      <c r="E1310" t="str">
        <f t="shared" si="777"/>
        <v>km/MJ</v>
      </c>
      <c r="F1310" s="1">
        <f>IFERROR(F1259/F1208,"-")</f>
        <v>0.63200308491829149</v>
      </c>
      <c r="G1310" s="1">
        <f t="shared" si="787"/>
        <v>1.0641373487107773</v>
      </c>
      <c r="H1310" s="1">
        <f t="shared" si="787"/>
        <v>2.5273011784908459E-2</v>
      </c>
      <c r="I1310" s="1">
        <f t="shared" si="787"/>
        <v>2.0699467948150823E-4</v>
      </c>
      <c r="J1310" s="1">
        <f t="shared" si="787"/>
        <v>8.8003417012745435E-6</v>
      </c>
      <c r="K1310" s="1">
        <f t="shared" si="787"/>
        <v>0</v>
      </c>
    </row>
    <row r="1311" spans="2:11" x14ac:dyDescent="0.35">
      <c r="B1311" s="5" t="str">
        <f t="shared" si="778"/>
        <v>SPS2</v>
      </c>
      <c r="C1311" s="5" t="str">
        <f t="shared" si="776"/>
        <v>CH</v>
      </c>
      <c r="D1311" t="s">
        <v>1228</v>
      </c>
      <c r="E1311" t="str">
        <f t="shared" si="777"/>
        <v>km/MJ</v>
      </c>
      <c r="F1311" s="1">
        <f>IFERROR(F1260/F1209,"-")</f>
        <v>0.46845213589227042</v>
      </c>
      <c r="G1311" s="1">
        <f t="shared" si="787"/>
        <v>9.6954367221509768E-2</v>
      </c>
      <c r="H1311" s="1">
        <f t="shared" si="787"/>
        <v>6.4052908338926684E-2</v>
      </c>
      <c r="I1311" s="1">
        <f t="shared" si="787"/>
        <v>2.2166753231115575E-2</v>
      </c>
      <c r="J1311" s="1">
        <f t="shared" si="787"/>
        <v>2.2349624248037248E-3</v>
      </c>
      <c r="K1311" s="1">
        <f t="shared" si="787"/>
        <v>0</v>
      </c>
    </row>
    <row r="1312" spans="2:11" x14ac:dyDescent="0.35">
      <c r="B1312" s="5" t="str">
        <f t="shared" si="778"/>
        <v>SPS2</v>
      </c>
      <c r="C1312" s="5" t="str">
        <f t="shared" si="776"/>
        <v>CH</v>
      </c>
      <c r="D1312" t="s">
        <v>1229</v>
      </c>
      <c r="E1312" t="str">
        <f t="shared" si="777"/>
        <v>km/MJ</v>
      </c>
      <c r="F1312" s="1">
        <f>IFERROR(F1261/F1210,"-")</f>
        <v>0.68269666171693355</v>
      </c>
      <c r="G1312" s="1">
        <f t="shared" si="787"/>
        <v>0.28950509481536246</v>
      </c>
      <c r="H1312" s="1">
        <f t="shared" si="787"/>
        <v>0.27574039435730147</v>
      </c>
      <c r="I1312" s="1">
        <f t="shared" si="787"/>
        <v>0.12379700030428369</v>
      </c>
      <c r="J1312" s="1">
        <f t="shared" si="787"/>
        <v>0.12328666174183417</v>
      </c>
      <c r="K1312" s="1" t="str">
        <f t="shared" si="787"/>
        <v>-</v>
      </c>
    </row>
    <row r="1313" spans="2:16" x14ac:dyDescent="0.35">
      <c r="B1313" s="9" t="str">
        <f t="shared" si="778"/>
        <v>SPS2</v>
      </c>
      <c r="C1313" s="9" t="str">
        <f t="shared" ref="C1313" si="788">C1312</f>
        <v>CH</v>
      </c>
      <c r="D1313" s="2" t="s">
        <v>1305</v>
      </c>
      <c r="E1313" s="2" t="s">
        <v>8</v>
      </c>
      <c r="F1313" s="3">
        <f>F1314+F1320+F1325+F1339</f>
        <v>0.7553305733301332</v>
      </c>
      <c r="G1313" s="3">
        <f t="shared" ref="G1313:K1313" si="789">G1314+G1320+G1325+G1339</f>
        <v>1.3141090122248003</v>
      </c>
      <c r="H1313" s="3">
        <f t="shared" si="789"/>
        <v>2.3025196357566551</v>
      </c>
      <c r="I1313" s="3">
        <f t="shared" si="789"/>
        <v>1.1903894998153954</v>
      </c>
      <c r="J1313" s="3">
        <f t="shared" si="789"/>
        <v>1.1774875228584218</v>
      </c>
      <c r="K1313" s="3">
        <f t="shared" si="789"/>
        <v>1.1493157182789457</v>
      </c>
      <c r="M1313" s="3"/>
      <c r="N1313" s="3"/>
      <c r="O1313" s="3"/>
      <c r="P1313" s="3"/>
    </row>
    <row r="1314" spans="2:16" x14ac:dyDescent="0.35">
      <c r="B1314" s="5" t="str">
        <f t="shared" si="778"/>
        <v>SPS2</v>
      </c>
      <c r="C1314" s="5" t="str">
        <f>C1313</f>
        <v>CH</v>
      </c>
      <c r="D1314" t="s">
        <v>1307</v>
      </c>
      <c r="E1314" t="s">
        <v>8</v>
      </c>
      <c r="F1314" s="1">
        <f>SUM(F1315:F1319)</f>
        <v>1.0373046997648062E-2</v>
      </c>
      <c r="G1314" s="1">
        <f t="shared" ref="G1314:K1314" si="790">SUM(G1315:G1319)</f>
        <v>2.7556964255979866E-2</v>
      </c>
      <c r="H1314" s="1">
        <f t="shared" si="790"/>
        <v>4.2093093776625901E-2</v>
      </c>
      <c r="I1314" s="1">
        <f t="shared" si="790"/>
        <v>1.1900185538136159</v>
      </c>
      <c r="J1314" s="1">
        <f t="shared" si="790"/>
        <v>1.1771568834061357</v>
      </c>
      <c r="K1314" s="1">
        <f t="shared" si="790"/>
        <v>1.1490188476632299</v>
      </c>
    </row>
    <row r="1315" spans="2:16" x14ac:dyDescent="0.35">
      <c r="B1315" s="5" t="str">
        <f t="shared" si="778"/>
        <v>SPS2</v>
      </c>
      <c r="C1315" s="5" t="str">
        <f t="shared" ref="C1315:C1348" si="791">C1314</f>
        <v>CH</v>
      </c>
      <c r="D1315" t="s">
        <v>1308</v>
      </c>
      <c r="E1315" t="s">
        <v>8</v>
      </c>
      <c r="F1315" s="1" cm="1">
        <f t="array" ref="F1315">SUMPRODUCT(("T_B_u-BeVELCEXT"=[1]OUT_TransportEnergyCons!$A$3:$A$1000)*1,("Var_Fin"=[1]OUT_TransportEnergyCons!$B$3:$B$1000)*1,ISNUMBER(SEARCH("ELC",[1]OUT_TransportEnergyCons!$C$3:$C$1000))*1,[1]OUT_TransportEnergyCons!D$3:D$1000)</f>
        <v>4.6809687344595243E-4</v>
      </c>
      <c r="G1315" s="1" cm="1">
        <f t="array" ref="G1315">SUMPRODUCT(("T_B_u-BeVELCEXT"=[1]OUT_TransportEnergyCons!$A$3:$A$1000)*1,("Var_Fin"=[1]OUT_TransportEnergyCons!$B$3:$B$1000)*1,ISNUMBER(SEARCH("ELC",[1]OUT_TransportEnergyCons!$C$3:$C$1000))*1,[1]OUT_TransportEnergyCons!E$3:E$1000)</f>
        <v>4.7887716614303792E-4</v>
      </c>
      <c r="H1315" s="1" cm="1">
        <f t="array" ref="H1315">SUMPRODUCT(("T_B_u-BeVELCEXT"=[1]OUT_TransportEnergyCons!$A$3:$A$1000)*1,("Var_Fin"=[1]OUT_TransportEnergyCons!$B$3:$B$1000)*1,ISNUMBER(SEARCH("ELC",[1]OUT_TransportEnergyCons!$C$3:$C$1000))*1,[1]OUT_TransportEnergyCons!F$3:F$1000)</f>
        <v>4.6940544902919262E-4</v>
      </c>
      <c r="I1315" s="1" cm="1">
        <f t="array" ref="I1315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5" s="1" cm="1">
        <f t="array" ref="J1315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5" s="1" cm="1">
        <f t="array" ref="K1315">SUMPRODUCT(("T_B_u-BeVELCEXT"=[1]OUT_TransportEnergyCons!$A$3:$A$1000)*1,("Var_Fin"=[1]OUT_TransportEnergyCons!$B$3:$B$1000)*1,ISNUMBER(SEARCH("ELC",[1]OUT_TransportEnergyCons!$C$3:$C$1000))*1,[1]OUT_TransportEnergyCons!I$3:I$1000)</f>
        <v>0</v>
      </c>
    </row>
    <row r="1316" spans="2:16" x14ac:dyDescent="0.35">
      <c r="B1316" s="5" t="str">
        <f t="shared" si="778"/>
        <v>SPS2</v>
      </c>
      <c r="C1316" s="5" t="str">
        <f t="shared" si="791"/>
        <v>CH</v>
      </c>
      <c r="D1316" t="s">
        <v>1309</v>
      </c>
      <c r="E1316" t="s">
        <v>8</v>
      </c>
      <c r="F1316" s="1" cm="1">
        <f t="array" ref="F1316">SUMPRODUCT(("T_B_u-BEVELC-S1"=[1]OUT_TransportEnergyCons!$A$3:$A$1000)*1,("Var_Fin"=[1]OUT_TransportEnergyCons!$B$3:$B$1000)*1,ISNUMBER(SEARCH("ELC",[1]OUT_TransportEnergyCons!$C$3:$C$1000))*1,[1]OUT_TransportEnergyCons!D$3:D$1000)</f>
        <v>2.4600547637036157E-7</v>
      </c>
      <c r="G1316" s="1" cm="1">
        <f t="array" ref="G1316">SUMPRODUCT(("T_B_u-BEVELC-S1"=[1]OUT_TransportEnergyCons!$A$3:$A$1000)*1,("Var_Fin"=[1]OUT_TransportEnergyCons!$B$3:$B$1000)*1,ISNUMBER(SEARCH("ELC",[1]OUT_TransportEnergyCons!$C$3:$C$1000))*1,[1]OUT_TransportEnergyCons!E$3:E$1000)</f>
        <v>8.2267164330248471E-3</v>
      </c>
      <c r="H1316" s="1" cm="1">
        <f t="array" ref="H1316">SUMPRODUCT(("T_B_u-BEVELC-S1"=[1]OUT_TransportEnergyCons!$A$3:$A$1000)*1,("Var_Fin"=[1]OUT_TransportEnergyCons!$B$3:$B$1000)*1,ISNUMBER(SEARCH("ELC",[1]OUT_TransportEnergyCons!$C$3:$C$1000))*1,[1]OUT_TransportEnergyCons!F$3:F$1000)</f>
        <v>1.1840854108145343E-2</v>
      </c>
      <c r="I1316" s="1" cm="1">
        <f t="array" ref="I1316">SUMPRODUCT(("T_B_u-BEVELC-S1"=[1]OUT_TransportEnergyCons!$A$3:$A$1000)*1,("Var_Fin"=[1]OUT_TransportEnergyCons!$B$3:$B$1000)*1,ISNUMBER(SEARCH("ELC",[1]OUT_TransportEnergyCons!$C$3:$C$1000))*1,[1]OUT_TransportEnergyCons!G$3:G$1000)</f>
        <v>0.23698179132421535</v>
      </c>
      <c r="J1316" s="1" cm="1">
        <f t="array" ref="J1316">SUMPRODUCT(("T_B_u-BEVELC-S1"=[1]OUT_TransportEnergyCons!$A$3:$A$1000)*1,("Var_Fin"=[1]OUT_TransportEnergyCons!$B$3:$B$1000)*1,ISNUMBER(SEARCH("ELC",[1]OUT_TransportEnergyCons!$C$3:$C$1000))*1,[1]OUT_TransportEnergyCons!H$3:H$1000)</f>
        <v>0.2513230102892155</v>
      </c>
      <c r="K1316" s="1" cm="1">
        <f t="array" ref="K1316">SUMPRODUCT(("T_B_u-BEVELC-S1"=[1]OUT_TransportEnergyCons!$A$3:$A$1000)*1,("Var_Fin"=[1]OUT_TransportEnergyCons!$B$3:$B$1000)*1,ISNUMBER(SEARCH("ELC",[1]OUT_TransportEnergyCons!$C$3:$C$1000))*1,[1]OUT_TransportEnergyCons!I$3:I$1000)</f>
        <v>0.24170184218043533</v>
      </c>
    </row>
    <row r="1317" spans="2:16" x14ac:dyDescent="0.35">
      <c r="B1317" s="5" t="str">
        <f t="shared" si="778"/>
        <v>SPS2</v>
      </c>
      <c r="C1317" s="5" t="str">
        <f t="shared" si="791"/>
        <v>CH</v>
      </c>
      <c r="D1317" t="s">
        <v>1310</v>
      </c>
      <c r="E1317" t="s">
        <v>8</v>
      </c>
      <c r="F1317" s="1" cm="1">
        <f t="array" ref="F1317">SUMPRODUCT(("T_B_u-BEVELC-S2"=[1]OUT_TransportEnergyCons!$A$3:$A$1000)*1,("Var_Fin"=[1]OUT_TransportEnergyCons!$B$3:$B$1000)*1,ISNUMBER(SEARCH("ELC",[1]OUT_TransportEnergyCons!$C$3:$C$1000))*1,[1]OUT_TransportEnergyCons!D$3:D$1000)</f>
        <v>1.5223044463410231E-3</v>
      </c>
      <c r="G1317" s="1" cm="1">
        <f t="array" ref="G1317">SUMPRODUCT(("T_B_u-BEVELC-S2"=[1]OUT_TransportEnergyCons!$A$3:$A$1000)*1,("Var_Fin"=[1]OUT_TransportEnergyCons!$B$3:$B$1000)*1,ISNUMBER(SEARCH("ELC",[1]OUT_TransportEnergyCons!$C$3:$C$1000))*1,[1]OUT_TransportEnergyCons!E$3:E$1000)</f>
        <v>3.2687649697986884E-3</v>
      </c>
      <c r="H1317" s="1" cm="1">
        <f t="array" ref="H1317">SUMPRODUCT(("T_B_u-BEVELC-S2"=[1]OUT_TransportEnergyCons!$A$3:$A$1000)*1,("Var_Fin"=[1]OUT_TransportEnergyCons!$B$3:$B$1000)*1,ISNUMBER(SEARCH("ELC",[1]OUT_TransportEnergyCons!$C$3:$C$1000))*1,[1]OUT_TransportEnergyCons!F$3:F$1000)</f>
        <v>9.3798475527500404E-3</v>
      </c>
      <c r="I1317" s="1" cm="1">
        <f t="array" ref="I1317">SUMPRODUCT(("T_B_u-BEVELC-S2"=[1]OUT_TransportEnergyCons!$A$3:$A$1000)*1,("Var_Fin"=[1]OUT_TransportEnergyCons!$B$3:$B$1000)*1,ISNUMBER(SEARCH("ELC",[1]OUT_TransportEnergyCons!$C$3:$C$1000))*1,[1]OUT_TransportEnergyCons!G$3:G$1000)</f>
        <v>0.12294397081462657</v>
      </c>
      <c r="J1317" s="1" cm="1">
        <f t="array" ref="J1317">SUMPRODUCT(("T_B_u-BEVELC-S2"=[1]OUT_TransportEnergyCons!$A$3:$A$1000)*1,("Var_Fin"=[1]OUT_TransportEnergyCons!$B$3:$B$1000)*1,ISNUMBER(SEARCH("ELC",[1]OUT_TransportEnergyCons!$C$3:$C$1000))*1,[1]OUT_TransportEnergyCons!H$3:H$1000)</f>
        <v>0.12547176170746319</v>
      </c>
      <c r="K1317" s="1" cm="1">
        <f t="array" ref="K1317">SUMPRODUCT(("T_B_u-BEVELC-S2"=[1]OUT_TransportEnergyCons!$A$3:$A$1000)*1,("Var_Fin"=[1]OUT_TransportEnergyCons!$B$3:$B$1000)*1,ISNUMBER(SEARCH("ELC",[1]OUT_TransportEnergyCons!$C$3:$C$1000))*1,[1]OUT_TransportEnergyCons!I$3:I$1000)</f>
        <v>0.12081442092661047</v>
      </c>
    </row>
    <row r="1318" spans="2:16" x14ac:dyDescent="0.35">
      <c r="B1318" s="5" t="str">
        <f t="shared" si="778"/>
        <v>SPS2</v>
      </c>
      <c r="C1318" s="5" t="str">
        <f t="shared" si="791"/>
        <v>CH</v>
      </c>
      <c r="D1318" t="s">
        <v>1311</v>
      </c>
      <c r="E1318" t="s">
        <v>8</v>
      </c>
      <c r="F1318" s="1" cm="1">
        <f t="array" ref="F1318">SUMPRODUCT(("T_B_u-BEVELC-S3"=[1]OUT_TransportEnergyCons!$A$3:$A$1000)*1,("Var_Fin"=[1]OUT_TransportEnergyCons!$B$3:$B$1000)*1,ISNUMBER(SEARCH("ELC",[1]OUT_TransportEnergyCons!$C$3:$C$1000))*1,[1]OUT_TransportEnergyCons!D$3:D$1000)</f>
        <v>7.9184284490614962E-3</v>
      </c>
      <c r="G1318" s="1" cm="1">
        <f t="array" ref="G1318">SUMPRODUCT(("T_B_u-BEVELC-S3"=[1]OUT_TransportEnergyCons!$A$3:$A$1000)*1,("Var_Fin"=[1]OUT_TransportEnergyCons!$B$3:$B$1000)*1,ISNUMBER(SEARCH("ELC",[1]OUT_TransportEnergyCons!$C$3:$C$1000))*1,[1]OUT_TransportEnergyCons!E$3:E$1000)</f>
        <v>1.4765012163263194E-2</v>
      </c>
      <c r="H1318" s="1" cm="1">
        <f t="array" ref="H1318">SUMPRODUCT(("T_B_u-BEVELC-S3"=[1]OUT_TransportEnergyCons!$A$3:$A$1000)*1,("Var_Fin"=[1]OUT_TransportEnergyCons!$B$3:$B$1000)*1,ISNUMBER(SEARCH("ELC",[1]OUT_TransportEnergyCons!$C$3:$C$1000))*1,[1]OUT_TransportEnergyCons!F$3:F$1000)</f>
        <v>1.9113736184751567E-2</v>
      </c>
      <c r="I1318" s="1" cm="1">
        <f t="array" ref="I1318">SUMPRODUCT(("T_B_u-BEVELC-S3"=[1]OUT_TransportEnergyCons!$A$3:$A$1000)*1,("Var_Fin"=[1]OUT_TransportEnergyCons!$B$3:$B$1000)*1,ISNUMBER(SEARCH("ELC",[1]OUT_TransportEnergyCons!$C$3:$C$1000))*1,[1]OUT_TransportEnergyCons!G$3:G$1000)</f>
        <v>0.80312996596054187</v>
      </c>
      <c r="J1318" s="1" cm="1">
        <f t="array" ref="J1318">SUMPRODUCT(("T_B_u-BEVELC-S3"=[1]OUT_TransportEnergyCons!$A$3:$A$1000)*1,("Var_Fin"=[1]OUT_TransportEnergyCons!$B$3:$B$1000)*1,ISNUMBER(SEARCH("ELC",[1]OUT_TransportEnergyCons!$C$3:$C$1000))*1,[1]OUT_TransportEnergyCons!H$3:H$1000)</f>
        <v>0.80006737219420176</v>
      </c>
      <c r="K1318" s="1" cm="1">
        <f t="array" ref="K1318">SUMPRODUCT(("T_B_u-BEVELC-S3"=[1]OUT_TransportEnergyCons!$A$3:$A$1000)*1,("Var_Fin"=[1]OUT_TransportEnergyCons!$B$3:$B$1000)*1,ISNUMBER(SEARCH("ELC",[1]OUT_TransportEnergyCons!$C$3:$C$1000))*1,[1]OUT_TransportEnergyCons!I$3:I$1000)</f>
        <v>0.78629648934290119</v>
      </c>
    </row>
    <row r="1319" spans="2:16" x14ac:dyDescent="0.35">
      <c r="B1319" s="5" t="str">
        <f t="shared" si="778"/>
        <v>SPS2</v>
      </c>
      <c r="C1319" s="5" t="str">
        <f t="shared" si="791"/>
        <v>CH</v>
      </c>
      <c r="D1319" t="s">
        <v>1312</v>
      </c>
      <c r="E1319" t="s">
        <v>8</v>
      </c>
      <c r="F1319" s="1" cm="1">
        <f t="array" ref="F1319">SUMPRODUCT(("T_B_u-BEVELC-S4"=[1]OUT_TransportEnergyCons!$A$3:$A$1000)*1,("Var_Fin"=[1]OUT_TransportEnergyCons!$B$3:$B$1000)*1,ISNUMBER(SEARCH("ELC",[1]OUT_TransportEnergyCons!$C$3:$C$1000))*1,[1]OUT_TransportEnergyCons!D$3:D$1000)</f>
        <v>4.6397122332321998E-4</v>
      </c>
      <c r="G1319" s="1" cm="1">
        <f t="array" ref="G1319">SUMPRODUCT(("T_B_u-BEVELC-S4"=[1]OUT_TransportEnergyCons!$A$3:$A$1000)*1,("Var_Fin"=[1]OUT_TransportEnergyCons!$B$3:$B$1000)*1,ISNUMBER(SEARCH("ELC",[1]OUT_TransportEnergyCons!$C$3:$C$1000))*1,[1]OUT_TransportEnergyCons!E$3:E$1000)</f>
        <v>8.1759352375009801E-4</v>
      </c>
      <c r="H1319" s="1" cm="1">
        <f t="array" ref="H1319">SUMPRODUCT(("T_B_u-BEVELC-S4"=[1]OUT_TransportEnergyCons!$A$3:$A$1000)*1,("Var_Fin"=[1]OUT_TransportEnergyCons!$B$3:$B$1000)*1,ISNUMBER(SEARCH("ELC",[1]OUT_TransportEnergyCons!$C$3:$C$1000))*1,[1]OUT_TransportEnergyCons!F$3:F$1000)</f>
        <v>1.2892504819497553E-3</v>
      </c>
      <c r="I1319" s="1" cm="1">
        <f t="array" ref="I1319">SUMPRODUCT(("T_B_u-BEVELC-S4"=[1]OUT_TransportEnergyCons!$A$3:$A$1000)*1,("Var_Fin"=[1]OUT_TransportEnergyCons!$B$3:$B$1000)*1,ISNUMBER(SEARCH("ELC",[1]OUT_TransportEnergyCons!$C$3:$C$1000))*1,[1]OUT_TransportEnergyCons!G$3:G$1000)</f>
        <v>2.6962825714231923E-2</v>
      </c>
      <c r="J1319" s="1" cm="1">
        <f t="array" ref="J1319">SUMPRODUCT(("T_B_u-BEVELC-S4"=[1]OUT_TransportEnergyCons!$A$3:$A$1000)*1,("Var_Fin"=[1]OUT_TransportEnergyCons!$B$3:$B$1000)*1,ISNUMBER(SEARCH("ELC",[1]OUT_TransportEnergyCons!$C$3:$C$1000))*1,[1]OUT_TransportEnergyCons!H$3:H$1000)</f>
        <v>2.9473921525523461E-4</v>
      </c>
      <c r="K1319" s="1" cm="1">
        <f t="array" ref="K1319">SUMPRODUCT(("T_B_u-BEVELC-S4"=[1]OUT_TransportEnergyCons!$A$3:$A$1000)*1,("Var_Fin"=[1]OUT_TransportEnergyCons!$B$3:$B$1000)*1,ISNUMBER(SEARCH("ELC",[1]OUT_TransportEnergyCons!$C$3:$C$1000))*1,[1]OUT_TransportEnergyCons!I$3:I$1000)</f>
        <v>2.0609521328286397E-4</v>
      </c>
    </row>
    <row r="1320" spans="2:16" x14ac:dyDescent="0.35">
      <c r="B1320" s="5" t="str">
        <f t="shared" si="778"/>
        <v>SPS2</v>
      </c>
      <c r="C1320" s="5" t="str">
        <f t="shared" si="791"/>
        <v>CH</v>
      </c>
      <c r="D1320" t="s">
        <v>1313</v>
      </c>
      <c r="E1320" t="s">
        <v>8</v>
      </c>
      <c r="F1320" s="1">
        <f>SUM(F1321:F1324)</f>
        <v>0</v>
      </c>
      <c r="G1320" s="1">
        <f t="shared" ref="G1320:K1320" si="792">SUM(G1321:G1324)</f>
        <v>0</v>
      </c>
      <c r="H1320" s="1">
        <f t="shared" si="792"/>
        <v>0</v>
      </c>
      <c r="I1320" s="1">
        <f t="shared" si="792"/>
        <v>4.1579474103769389E-5</v>
      </c>
      <c r="J1320" s="1">
        <f t="shared" si="792"/>
        <v>1.836806484960433E-4</v>
      </c>
      <c r="K1320" s="1">
        <f t="shared" si="792"/>
        <v>1.0099916820621727E-4</v>
      </c>
    </row>
    <row r="1321" spans="2:16" x14ac:dyDescent="0.35">
      <c r="B1321" s="5" t="str">
        <f t="shared" si="778"/>
        <v>SPS2</v>
      </c>
      <c r="C1321" s="5" t="str">
        <f t="shared" si="791"/>
        <v>CH</v>
      </c>
      <c r="D1321" t="s">
        <v>1314</v>
      </c>
      <c r="E1321" t="s">
        <v>8</v>
      </c>
      <c r="F1321" s="1" cm="1">
        <f t="array" ref="F1321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1" s="1" cm="1">
        <f t="array" ref="G1321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1" s="1" cm="1">
        <f t="array" ref="H1321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1" s="1" cm="1">
        <f t="array" ref="I1321">SUMPRODUCT(("T_B_u-FCLH2O-S1"=[1]OUT_TransportEnergyCons!$A$3:$A$1000)*1,("Var_Fin"=[1]OUT_TransportEnergyCons!$B$3:$B$1000)*1,ISNUMBER(SEARCH("H2",[1]OUT_TransportEnergyCons!$C$3:$C$1000))*1,[1]OUT_TransportEnergyCons!G$3:G$1000)</f>
        <v>2.1903288393884349E-5</v>
      </c>
      <c r="J1321" s="1" cm="1">
        <f t="array" ref="J1321">SUMPRODUCT(("T_B_u-FCLH2O-S1"=[1]OUT_TransportEnergyCons!$A$3:$A$1000)*1,("Var_Fin"=[1]OUT_TransportEnergyCons!$B$3:$B$1000)*1,ISNUMBER(SEARCH("H2",[1]OUT_TransportEnergyCons!$C$3:$C$1000))*1,[1]OUT_TransportEnergyCons!H$3:H$1000)</f>
        <v>2.1988950566436403E-5</v>
      </c>
      <c r="K1321" s="1" cm="1">
        <f t="array" ref="K1321">SUMPRODUCT(("T_B_u-FCLH2O-S1"=[1]OUT_TransportEnergyCons!$A$3:$A$1000)*1,("Var_Fin"=[1]OUT_TransportEnergyCons!$B$3:$B$1000)*1,ISNUMBER(SEARCH("H2",[1]OUT_TransportEnergyCons!$C$3:$C$1000))*1,[1]OUT_TransportEnergyCons!I$3:I$1000)</f>
        <v>1.0461841001342546E-5</v>
      </c>
    </row>
    <row r="1322" spans="2:16" x14ac:dyDescent="0.35">
      <c r="B1322" s="5" t="str">
        <f t="shared" si="778"/>
        <v>SPS2</v>
      </c>
      <c r="C1322" s="5" t="str">
        <f t="shared" si="791"/>
        <v>CH</v>
      </c>
      <c r="D1322" t="s">
        <v>1315</v>
      </c>
      <c r="E1322" t="s">
        <v>8</v>
      </c>
      <c r="F1322" s="1" cm="1">
        <f t="array" ref="F1322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2" s="1" cm="1">
        <f t="array" ref="G1322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2" s="1" cm="1">
        <f t="array" ref="H1322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2" s="1" cm="1">
        <f t="array" ref="I1322">SUMPRODUCT(("T_B_u-FCLH2O-S2"=[1]OUT_TransportEnergyCons!$A$3:$A$1000)*1,("Var_Fin"=[1]OUT_TransportEnergyCons!$B$3:$B$1000)*1,ISNUMBER(SEARCH("H2",[1]OUT_TransportEnergyCons!$C$3:$C$1000))*1,[1]OUT_TransportEnergyCons!G$3:G$1000)</f>
        <v>9.0720840369446417E-6</v>
      </c>
      <c r="J1322" s="1" cm="1">
        <f t="array" ref="J1322">SUMPRODUCT(("T_B_u-FCLH2O-S2"=[1]OUT_TransportEnergyCons!$A$3:$A$1000)*1,("Var_Fin"=[1]OUT_TransportEnergyCons!$B$3:$B$1000)*1,ISNUMBER(SEARCH("H2",[1]OUT_TransportEnergyCons!$C$3:$C$1000))*1,[1]OUT_TransportEnergyCons!H$3:H$1000)</f>
        <v>2.9799331699737552E-5</v>
      </c>
      <c r="K1322" s="1" cm="1">
        <f t="array" ref="K1322">SUMPRODUCT(("T_B_u-FCLH2O-S2"=[1]OUT_TransportEnergyCons!$A$3:$A$1000)*1,("Var_Fin"=[1]OUT_TransportEnergyCons!$B$3:$B$1000)*1,ISNUMBER(SEARCH("H2",[1]OUT_TransportEnergyCons!$C$3:$C$1000))*1,[1]OUT_TransportEnergyCons!I$3:I$1000)</f>
        <v>1.8561700000641874E-5</v>
      </c>
    </row>
    <row r="1323" spans="2:16" x14ac:dyDescent="0.35">
      <c r="B1323" s="5" t="str">
        <f t="shared" si="778"/>
        <v>SPS2</v>
      </c>
      <c r="C1323" s="5" t="str">
        <f t="shared" si="791"/>
        <v>CH</v>
      </c>
      <c r="D1323" t="s">
        <v>1316</v>
      </c>
      <c r="E1323" t="s">
        <v>8</v>
      </c>
      <c r="F1323" s="1" cm="1">
        <f t="array" ref="F1323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SUMPRODUCT(("T_B_u-FCLH2O-S3"=[1]OUT_TransportEnergyCons!$A$3:$A$1000)*1,("Var_Fin"=[1]OUT_TransportEnergyCons!$B$3:$B$1000)*1,ISNUMBER(SEARCH("H2",[1]OUT_TransportEnergyCons!$C$3:$C$1000))*1,[1]OUT_TransportEnergyCons!G$3:G$1000)</f>
        <v>8.3756711074267077E-6</v>
      </c>
      <c r="J1323" s="1" cm="1">
        <f t="array" ref="J1323">SUMPRODUCT(("T_B_u-FCLH2O-S3"=[1]OUT_TransportEnergyCons!$A$3:$A$1000)*1,("Var_Fin"=[1]OUT_TransportEnergyCons!$B$3:$B$1000)*1,ISNUMBER(SEARCH("H2",[1]OUT_TransportEnergyCons!$C$3:$C$1000))*1,[1]OUT_TransportEnergyCons!H$3:H$1000)</f>
        <v>5.9380900730203535E-5</v>
      </c>
      <c r="K1323" s="1" cm="1">
        <f t="array" ref="K1323">SUMPRODUCT(("T_B_u-FCLH2O-S3"=[1]OUT_TransportEnergyCons!$A$3:$A$1000)*1,("Var_Fin"=[1]OUT_TransportEnergyCons!$B$3:$B$1000)*1,ISNUMBER(SEARCH("H2",[1]OUT_TransportEnergyCons!$C$3:$C$1000))*1,[1]OUT_TransportEnergyCons!I$3:I$1000)</f>
        <v>4.6629016851159184E-5</v>
      </c>
    </row>
    <row r="1324" spans="2:16" x14ac:dyDescent="0.35">
      <c r="B1324" s="5" t="str">
        <f t="shared" si="778"/>
        <v>SPS2</v>
      </c>
      <c r="C1324" s="5" t="str">
        <f t="shared" si="791"/>
        <v>CH</v>
      </c>
      <c r="D1324" t="s">
        <v>1317</v>
      </c>
      <c r="E1324" t="s">
        <v>8</v>
      </c>
      <c r="F1324" s="1" cm="1">
        <f t="array" ref="F1324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SUMPRODUCT(("T_B_u-FCLH2O-S4"=[1]OUT_TransportEnergyCons!$A$3:$A$1000)*1,("Var_Fin"=[1]OUT_TransportEnergyCons!$B$3:$B$1000)*1,ISNUMBER(SEARCH("H2",[1]OUT_TransportEnergyCons!$C$3:$C$1000))*1,[1]OUT_TransportEnergyCons!G$3:G$1000)</f>
        <v>2.2284305655136987E-6</v>
      </c>
      <c r="J1324" s="1" cm="1">
        <f t="array" ref="J1324">SUMPRODUCT(("T_B_u-FCLH2O-S4"=[1]OUT_TransportEnergyCons!$A$3:$A$1000)*1,("Var_Fin"=[1]OUT_TransportEnergyCons!$B$3:$B$1000)*1,ISNUMBER(SEARCH("H2",[1]OUT_TransportEnergyCons!$C$3:$C$1000))*1,[1]OUT_TransportEnergyCons!H$3:H$1000)</f>
        <v>7.2511465499665802E-5</v>
      </c>
      <c r="K1324" s="1" cm="1">
        <f t="array" ref="K1324">SUMPRODUCT(("T_B_u-FCLH2O-S4"=[1]OUT_TransportEnergyCons!$A$3:$A$1000)*1,("Var_Fin"=[1]OUT_TransportEnergyCons!$B$3:$B$1000)*1,ISNUMBER(SEARCH("H2",[1]OUT_TransportEnergyCons!$C$3:$C$1000))*1,[1]OUT_TransportEnergyCons!I$3:I$1000)</f>
        <v>2.5346610353073669E-5</v>
      </c>
    </row>
    <row r="1325" spans="2:16" x14ac:dyDescent="0.35">
      <c r="B1325" s="5" t="str">
        <f t="shared" si="778"/>
        <v>SPS2</v>
      </c>
      <c r="C1325" s="5" t="str">
        <f t="shared" si="791"/>
        <v>CH</v>
      </c>
      <c r="D1325" t="s">
        <v>1318</v>
      </c>
      <c r="E1325" t="s">
        <v>8</v>
      </c>
      <c r="F1325" s="1">
        <f>SUM(F1330:F1338)</f>
        <v>0.74464464860643409</v>
      </c>
      <c r="G1325" s="1">
        <f t="shared" ref="G1325:K1325" si="793">SUM(G1330:G1338)</f>
        <v>1.2804829109607874</v>
      </c>
      <c r="H1325" s="1">
        <f t="shared" si="793"/>
        <v>2.23154051043513</v>
      </c>
      <c r="I1325" s="1">
        <f t="shared" si="793"/>
        <v>4.4528926797218517E-5</v>
      </c>
      <c r="J1325" s="1">
        <f t="shared" si="793"/>
        <v>2.322019483474698E-5</v>
      </c>
      <c r="K1325" s="1">
        <f t="shared" si="793"/>
        <v>9.1526845396273945E-5</v>
      </c>
    </row>
    <row r="1326" spans="2:16" x14ac:dyDescent="0.35">
      <c r="B1326" s="5" t="str">
        <f t="shared" si="778"/>
        <v>SPS2</v>
      </c>
      <c r="C1326" s="5" t="str">
        <f t="shared" si="791"/>
        <v>CH</v>
      </c>
      <c r="D1326" t="s">
        <v>1319</v>
      </c>
      <c r="E1326" t="s">
        <v>8</v>
      </c>
      <c r="F1326" s="1">
        <f>F1325-F1327</f>
        <v>0.72663363868005471</v>
      </c>
      <c r="G1326" s="1">
        <f t="shared" ref="G1326:K1326" si="794">G1325-G1327</f>
        <v>1.2471102349087799</v>
      </c>
      <c r="H1326" s="1">
        <f t="shared" si="794"/>
        <v>2.1314986039991117</v>
      </c>
      <c r="I1326" s="1">
        <f t="shared" si="794"/>
        <v>4.222885354462541E-5</v>
      </c>
      <c r="J1326" s="1">
        <f t="shared" si="794"/>
        <v>2.214921891902548E-6</v>
      </c>
      <c r="K1326" s="1">
        <f t="shared" si="794"/>
        <v>-2.0970694855606306E-4</v>
      </c>
    </row>
    <row r="1327" spans="2:16" x14ac:dyDescent="0.35">
      <c r="B1327" s="5" t="str">
        <f t="shared" si="778"/>
        <v>SPS2</v>
      </c>
      <c r="C1327" s="5" t="str">
        <f t="shared" si="791"/>
        <v>CH</v>
      </c>
      <c r="D1327" t="s">
        <v>1320</v>
      </c>
      <c r="E1327" t="s">
        <v>8</v>
      </c>
      <c r="F1327" s="1">
        <f>SUM(F1328:F1329)</f>
        <v>1.801100992637937E-2</v>
      </c>
      <c r="G1327" s="1">
        <f t="shared" ref="G1327" si="795">SUM(G1328:G1329)</f>
        <v>3.3372676052007416E-2</v>
      </c>
      <c r="H1327" s="1">
        <f t="shared" ref="H1327" si="796">SUM(H1328:H1329)</f>
        <v>0.1000419064360183</v>
      </c>
      <c r="I1327" s="1">
        <f t="shared" ref="I1327" si="797">SUM(I1328:I1329)</f>
        <v>2.3000732525931045E-6</v>
      </c>
      <c r="J1327" s="1">
        <f t="shared" ref="J1327" si="798">SUM(J1328:J1329)</f>
        <v>2.1005272942844432E-5</v>
      </c>
      <c r="K1327" s="1">
        <f t="shared" ref="K1327" si="799">SUM(K1328:K1329)</f>
        <v>3.0123379395233701E-4</v>
      </c>
    </row>
    <row r="1328" spans="2:16" x14ac:dyDescent="0.35">
      <c r="B1328" s="5" t="str">
        <f t="shared" si="778"/>
        <v>SPS2</v>
      </c>
      <c r="C1328" s="5" t="str">
        <f t="shared" si="791"/>
        <v>CH</v>
      </c>
      <c r="D1328" t="s">
        <v>1322</v>
      </c>
      <c r="E1328" t="s">
        <v>8</v>
      </c>
      <c r="F1328" s="1">
        <f>[1]Transport!B$26/SUM([1]Transport!B$22,[1]Transport!B$26)*F1325*(F$33+F$580)/(F$33+F$580+F$36)</f>
        <v>1.801100992637937E-2</v>
      </c>
      <c r="G1328" s="1">
        <f>[1]Transport!C$26/SUM([1]Transport!C$22,[1]Transport!C$26)*G1325*(G$33+G$580)/(G$33+G$580+G$36)</f>
        <v>3.3372676052007416E-2</v>
      </c>
      <c r="H1328" s="1">
        <f>[1]Transport!D$26/SUM([1]Transport!D$22,[1]Transport!D$26)*H1325*(H$33+H$580)/(H$33+H$580+H$36)</f>
        <v>0.1000419064360183</v>
      </c>
      <c r="I1328" s="1">
        <f>[1]Transport!E$26/SUM([1]Transport!E$22,[1]Transport!E$26)*I1325*(I$33+I$580)/(I$33+I$580+I$36)</f>
        <v>2.3000732525931045E-6</v>
      </c>
      <c r="J1328" s="1">
        <f>[1]Transport!F$26/SUM([1]Transport!F$22,[1]Transport!F$26)*J1325*(J$33+J$580)/(J$33+J$580+J$36)</f>
        <v>1.0440056698520582E-6</v>
      </c>
      <c r="K1328" s="1">
        <f>[1]Transport!G$26/SUM([1]Transport!G$22,[1]Transport!G$26)*K1325*(K$33+K$580)/(K$33+K$580+K$36)</f>
        <v>1.9092696160053967E-5</v>
      </c>
    </row>
    <row r="1329" spans="2:11" x14ac:dyDescent="0.35">
      <c r="B1329" s="5" t="str">
        <f t="shared" si="778"/>
        <v>SPS2</v>
      </c>
      <c r="C1329" s="5" t="str">
        <f t="shared" si="791"/>
        <v>CH</v>
      </c>
      <c r="D1329" t="s">
        <v>1321</v>
      </c>
      <c r="E1329" t="s">
        <v>8</v>
      </c>
      <c r="F1329" s="1">
        <f>(F$36+F$716)/([1]Transport!B$22+[1]Transport!B$26)*F1325</f>
        <v>0</v>
      </c>
      <c r="G1329" s="1">
        <f>(G$36+G$716)/([1]Transport!C$22+[1]Transport!C$26)*G1325</f>
        <v>0</v>
      </c>
      <c r="H1329" s="1">
        <f>(H$36+H$716)/([1]Transport!D$22+[1]Transport!D$26)*H1325</f>
        <v>0</v>
      </c>
      <c r="I1329" s="1">
        <f>(I$36+I$716)/([1]Transport!E$22+[1]Transport!E$26)*I1325</f>
        <v>0</v>
      </c>
      <c r="J1329" s="1">
        <f>(J$36+J$716)/([1]Transport!F$22+[1]Transport!F$26)*J1325</f>
        <v>1.9961267272992374E-5</v>
      </c>
      <c r="K1329" s="1">
        <f>(K$36+K$716)/([1]Transport!G$22+[1]Transport!G$26)*K1325</f>
        <v>2.8214109779228303E-4</v>
      </c>
    </row>
    <row r="1330" spans="2:11" x14ac:dyDescent="0.35">
      <c r="B1330" s="5" t="str">
        <f t="shared" si="778"/>
        <v>SPS2</v>
      </c>
      <c r="C1330" s="5" t="str">
        <f t="shared" si="791"/>
        <v>CH</v>
      </c>
      <c r="D1330" t="s">
        <v>1323</v>
      </c>
      <c r="E1330" t="s">
        <v>8</v>
      </c>
      <c r="F1330" s="1" cm="1">
        <f t="array" ref="F1330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0" s="1" cm="1">
        <f t="array" ref="G1330">SUMPRODUCT(("T_B_u-HYBDSL-S1"=[1]OUT_TransportEnergyCons!$A$3:$A$1000)*1,("Var_Fin"=[1]OUT_TransportEnergyCons!$B$3:$B$1000)*1,ISNUMBER(SEARCH("DSL",[1]OUT_TransportEnergyCons!$C$3:$C$1000))*1,[1]OUT_TransportEnergyCons!E$3:E$1000)</f>
        <v>2.4204908096479589E-2</v>
      </c>
      <c r="H1330" s="1" cm="1">
        <f t="array" ref="H1330">SUMPRODUCT(("T_B_u-HYBDSL-S1"=[1]OUT_TransportEnergyCons!$A$3:$A$1000)*1,("Var_Fin"=[1]OUT_TransportEnergyCons!$B$3:$B$1000)*1,ISNUMBER(SEARCH("DSL",[1]OUT_TransportEnergyCons!$C$3:$C$1000))*1,[1]OUT_TransportEnergyCons!F$3:F$1000)</f>
        <v>2.5476186175801038E-2</v>
      </c>
      <c r="I1330" s="1" cm="1">
        <f t="array" ref="I1330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0" s="1" cm="1">
        <f t="array" ref="J1330">SUMPRODUCT(("T_B_u-HYBDSL-S1"=[1]OUT_TransportEnergyCons!$A$3:$A$1000)*1,("Var_Fin"=[1]OUT_TransportEnergyCons!$B$3:$B$1000)*1,ISNUMBER(SEARCH("DSL",[1]OUT_TransportEnergyCons!$C$3:$C$1000))*1,[1]OUT_TransportEnergyCons!H$3:H$1000)</f>
        <v>4.1991967008442181E-6</v>
      </c>
      <c r="K1330" s="1" cm="1">
        <f t="array" ref="K1330">SUMPRODUCT(("T_B_u-HYBDSL-S1"=[1]OUT_TransportEnergyCons!$A$3:$A$1000)*1,("Var_Fin"=[1]OUT_TransportEnergyCons!$B$3:$B$1000)*1,ISNUMBER(SEARCH("DSL",[1]OUT_TransportEnergyCons!$C$3:$C$1000))*1,[1]OUT_TransportEnergyCons!I$3:I$1000)</f>
        <v>7.0438496871032022E-7</v>
      </c>
    </row>
    <row r="1331" spans="2:11" x14ac:dyDescent="0.35">
      <c r="B1331" s="5" t="str">
        <f t="shared" si="778"/>
        <v>SPS2</v>
      </c>
      <c r="C1331" s="5" t="str">
        <f t="shared" si="791"/>
        <v>CH</v>
      </c>
      <c r="D1331" t="s">
        <v>1324</v>
      </c>
      <c r="E1331" t="s">
        <v>8</v>
      </c>
      <c r="F1331" s="1" cm="1">
        <f t="array" ref="F1331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1" s="1" cm="1">
        <f t="array" ref="G1331">SUMPRODUCT(("T_B_u-HYBDSL-S2"=[1]OUT_TransportEnergyCons!$A$3:$A$1000)*1,("Var_Fin"=[1]OUT_TransportEnergyCons!$B$3:$B$1000)*1,ISNUMBER(SEARCH("DSL",[1]OUT_TransportEnergyCons!$C$3:$C$1000))*1,[1]OUT_TransportEnergyCons!E$3:E$1000)</f>
        <v>9.0862638786529278E-4</v>
      </c>
      <c r="H1331" s="1" cm="1">
        <f t="array" ref="H1331">SUMPRODUCT(("T_B_u-HYBDSL-S2"=[1]OUT_TransportEnergyCons!$A$3:$A$1000)*1,("Var_Fin"=[1]OUT_TransportEnergyCons!$B$3:$B$1000)*1,ISNUMBER(SEARCH("DSL",[1]OUT_TransportEnergyCons!$C$3:$C$1000))*1,[1]OUT_TransportEnergyCons!F$3:F$1000)</f>
        <v>1.6090605324336224E-3</v>
      </c>
      <c r="I1331" s="1" cm="1">
        <f t="array" ref="I1331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1" s="1" cm="1">
        <f t="array" ref="J1331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1" s="1" cm="1">
        <f t="array" ref="K1331">SUMPRODUCT(("T_B_u-HYBDSL-S2"=[1]OUT_TransportEnergyCons!$A$3:$A$1000)*1,("Var_Fin"=[1]OUT_TransportEnergyCons!$B$3:$B$1000)*1,ISNUMBER(SEARCH("DSL",[1]OUT_TransportEnergyCons!$C$3:$C$1000))*1,[1]OUT_TransportEnergyCons!I$3:I$1000)</f>
        <v>2.4988551736942911E-6</v>
      </c>
    </row>
    <row r="1332" spans="2:11" x14ac:dyDescent="0.35">
      <c r="B1332" s="5" t="str">
        <f t="shared" ref="B1332:B1395" si="800">B1331</f>
        <v>SPS2</v>
      </c>
      <c r="C1332" s="5" t="str">
        <f t="shared" si="791"/>
        <v>CH</v>
      </c>
      <c r="D1332" t="s">
        <v>1325</v>
      </c>
      <c r="E1332" t="s">
        <v>8</v>
      </c>
      <c r="F1332" s="1" cm="1">
        <f t="array" ref="F1332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SUMPRODUCT(("T_B_u-HYBDSL-S3"=[1]OUT_TransportEnergyCons!$A$3:$A$1000)*1,("Var_Fin"=[1]OUT_TransportEnergyCons!$B$3:$B$1000)*1,ISNUMBER(SEARCH("DSL",[1]OUT_TransportEnergyCons!$C$3:$C$1000))*1,[1]OUT_TransportEnergyCons!E$3:E$1000)</f>
        <v>1.4868760246302697E-3</v>
      </c>
      <c r="H1332" s="1" cm="1">
        <f t="array" ref="H1332">SUMPRODUCT(("T_B_u-HYBDSL-S3"=[1]OUT_TransportEnergyCons!$A$3:$A$1000)*1,("Var_Fin"=[1]OUT_TransportEnergyCons!$B$3:$B$1000)*1,ISNUMBER(SEARCH("DSL",[1]OUT_TransportEnergyCons!$C$3:$C$1000))*1,[1]OUT_TransportEnergyCons!F$3:F$1000)</f>
        <v>2.2542063919332445E-3</v>
      </c>
      <c r="I1332" s="1" cm="1">
        <f t="array" ref="I1332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SUMPRODUCT(("T_B_u-HYBDSL-S3"=[1]OUT_TransportEnergyCons!$A$3:$A$1000)*1,("Var_Fin"=[1]OUT_TransportEnergyCons!$B$3:$B$1000)*1,ISNUMBER(SEARCH("DSL",[1]OUT_TransportEnergyCons!$C$3:$C$1000))*1,[1]OUT_TransportEnergyCons!H$3:H$1000)</f>
        <v>1.4963532484344035E-5</v>
      </c>
      <c r="K1332" s="1" cm="1">
        <f t="array" ref="K1332">SUMPRODUCT(("T_B_u-HYBDSL-S3"=[1]OUT_TransportEnergyCons!$A$3:$A$1000)*1,("Var_Fin"=[1]OUT_TransportEnergyCons!$B$3:$B$1000)*1,ISNUMBER(SEARCH("DSL",[1]OUT_TransportEnergyCons!$C$3:$C$1000))*1,[1]OUT_TransportEnergyCons!I$3:I$1000)</f>
        <v>2.6726519466455516E-5</v>
      </c>
    </row>
    <row r="1333" spans="2:11" x14ac:dyDescent="0.35">
      <c r="B1333" s="5" t="str">
        <f t="shared" si="800"/>
        <v>SPS2</v>
      </c>
      <c r="C1333" s="5" t="str">
        <f t="shared" si="791"/>
        <v>CH</v>
      </c>
      <c r="D1333" t="s">
        <v>1326</v>
      </c>
      <c r="E1333" t="s">
        <v>8</v>
      </c>
      <c r="F1333" s="1" cm="1">
        <f t="array" ref="F1333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SUMPRODUCT(("T_B_u-HYBDSL-S4"=[1]OUT_TransportEnergyCons!$A$3:$A$1000)*1,("Var_Fin"=[1]OUT_TransportEnergyCons!$B$3:$B$1000)*1,ISNUMBER(SEARCH("DSL",[1]OUT_TransportEnergyCons!$C$3:$C$1000))*1,[1]OUT_TransportEnergyCons!E$3:E$1000)</f>
        <v>8.4032259507965001E-5</v>
      </c>
      <c r="H1333" s="1" cm="1">
        <f t="array" ref="H1333">SUMPRODUCT(("T_B_u-HYBDSL-S4"=[1]OUT_TransportEnergyCons!$A$3:$A$1000)*1,("Var_Fin"=[1]OUT_TransportEnergyCons!$B$3:$B$1000)*1,ISNUMBER(SEARCH("DSL",[1]OUT_TransportEnergyCons!$C$3:$C$1000))*1,[1]OUT_TransportEnergyCons!F$3:F$1000)</f>
        <v>1.673422483816703E-4</v>
      </c>
      <c r="I1333" s="1" cm="1">
        <f t="array" ref="I1333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SUMPRODUCT(("T_B_u-HYBDSL-S4"=[1]OUT_TransportEnergyCons!$A$3:$A$1000)*1,("Var_Fin"=[1]OUT_TransportEnergyCons!$B$3:$B$1000)*1,ISNUMBER(SEARCH("DSL",[1]OUT_TransportEnergyCons!$C$3:$C$1000))*1,[1]OUT_TransportEnergyCons!I$3:I$1000)</f>
        <v>2.4557513780570658E-5</v>
      </c>
    </row>
    <row r="1334" spans="2:11" x14ac:dyDescent="0.35">
      <c r="B1334" s="5" t="str">
        <f t="shared" si="800"/>
        <v>SPS2</v>
      </c>
      <c r="C1334" s="5" t="str">
        <f t="shared" si="791"/>
        <v>CH</v>
      </c>
      <c r="D1334" t="s">
        <v>2001</v>
      </c>
      <c r="E1334" t="s">
        <v>8</v>
      </c>
      <c r="F1334" s="1" cm="1">
        <f t="array" ref="F1334">SUMPRODUCT(("T_B_u-ICEDSLEXT"=[1]OUT_TransportEnergyCons!$A$3:$A$1000)*1,("Var_Fin"=[1]OUT_TransportEnergyCons!$B$3:$B$1000)*1,ISNUMBER(SEARCH("DSL",[1]OUT_TransportEnergyCons!$C$3:$C$1000))*1,[1]OUT_TransportEnergyCons!D$3:D$1000)</f>
        <v>1.7332870945821019E-2</v>
      </c>
      <c r="G1334" s="1" cm="1">
        <f t="array" ref="G1334">SUMPRODUCT(("T_B_u-ICEDSLEXT"=[1]OUT_TransportEnergyCons!$A$3:$A$1000)*1,("Var_Fin"=[1]OUT_TransportEnergyCons!$B$3:$B$1000)*1,ISNUMBER(SEARCH("DSL",[1]OUT_TransportEnergyCons!$C$3:$C$1000))*1,[1]OUT_TransportEnergyCons!E$3:E$1000)</f>
        <v>1.731750696106733E-2</v>
      </c>
      <c r="H1334" s="1" cm="1">
        <f t="array" ref="H1334">SUMPRODUCT(("T_B_u-ICEDSLEXT"=[1]OUT_TransportEnergyCons!$A$3:$A$1000)*1,("Var_Fin"=[1]OUT_TransportEnergyCons!$B$3:$B$1000)*1,ISNUMBER(SEARCH("DSL",[1]OUT_TransportEnergyCons!$C$3:$C$1000))*1,[1]OUT_TransportEnergyCons!F$3:F$1000)</f>
        <v>1.7247782132773292E-2</v>
      </c>
      <c r="I1334" s="1" cm="1">
        <f t="array" ref="I1334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SUMPRODUCT(("T_B_u-ICEDSLEXT"=[1]OUT_TransportEnergyCons!$A$3:$A$1000)*1,("Var_Fin"=[1]OUT_TransportEnergyCons!$B$3:$B$1000)*1,ISNUMBER(SEARCH("DSL",[1]OUT_TransportEnergyCons!$C$3:$C$1000))*1,[1]OUT_TransportEnergyCons!I$3:I$1000)</f>
        <v>0</v>
      </c>
    </row>
    <row r="1335" spans="2:11" x14ac:dyDescent="0.35">
      <c r="B1335" s="5" t="str">
        <f t="shared" si="800"/>
        <v>SPS2</v>
      </c>
      <c r="C1335" s="5" t="str">
        <f t="shared" si="791"/>
        <v>CH</v>
      </c>
      <c r="D1335" t="s">
        <v>1327</v>
      </c>
      <c r="E1335" t="s">
        <v>8</v>
      </c>
      <c r="F1335" s="1" cm="1">
        <f t="array" ref="F1335">SUMPRODUCT(("T_B_u-ICEDSL-S1"=[1]OUT_TransportEnergyCons!$A$3:$A$1000)*1,("Var_Fin"=[1]OUT_TransportEnergyCons!$B$3:$B$1000)*1,ISNUMBER(SEARCH("DSL",[1]OUT_TransportEnergyCons!$C$3:$C$1000))*1,[1]OUT_TransportEnergyCons!D$3:D$1000)</f>
        <v>3.3157820168720081E-4</v>
      </c>
      <c r="G1335" s="1" cm="1">
        <f t="array" ref="G1335">SUMPRODUCT(("T_B_u-ICEDSL-S1"=[1]OUT_TransportEnergyCons!$A$3:$A$1000)*1,("Var_Fin"=[1]OUT_TransportEnergyCons!$B$3:$B$1000)*1,ISNUMBER(SEARCH("DSL",[1]OUT_TransportEnergyCons!$C$3:$C$1000))*1,[1]OUT_TransportEnergyCons!E$3:E$1000)</f>
        <v>0.21139289597236169</v>
      </c>
      <c r="H1335" s="1" cm="1">
        <f t="array" ref="H1335">SUMPRODUCT(("T_B_u-ICEDSL-S1"=[1]OUT_TransportEnergyCons!$A$3:$A$1000)*1,("Var_Fin"=[1]OUT_TransportEnergyCons!$B$3:$B$1000)*1,ISNUMBER(SEARCH("DSL",[1]OUT_TransportEnergyCons!$C$3:$C$1000))*1,[1]OUT_TransportEnergyCons!F$3:F$1000)</f>
        <v>0.40373104417026906</v>
      </c>
      <c r="I1335" s="1" cm="1">
        <f t="array" ref="I1335">SUMPRODUCT(("T_B_u-ICEDSL-S1"=[1]OUT_TransportEnergyCons!$A$3:$A$1000)*1,("Var_Fin"=[1]OUT_TransportEnergyCons!$B$3:$B$1000)*1,ISNUMBER(SEARCH("DSL",[1]OUT_TransportEnergyCons!$C$3:$C$1000))*1,[1]OUT_TransportEnergyCons!G$3:G$1000)</f>
        <v>4.4528926797218517E-5</v>
      </c>
      <c r="J1335" s="1" cm="1">
        <f t="array" ref="J1335">SUMPRODUCT(("T_B_u-ICEDSL-S1"=[1]OUT_TransportEnergyCons!$A$3:$A$1000)*1,("Var_Fin"=[1]OUT_TransportEnergyCons!$B$3:$B$1000)*1,ISNUMBER(SEARCH("DSL",[1]OUT_TransportEnergyCons!$C$3:$C$1000))*1,[1]OUT_TransportEnergyCons!H$3:H$1000)</f>
        <v>4.0574656495587249E-6</v>
      </c>
      <c r="K1335" s="1" cm="1">
        <f t="array" ref="K1335">SUMPRODUCT(("T_B_u-ICEDSL-S1"=[1]OUT_TransportEnergyCons!$A$3:$A$1000)*1,("Var_Fin"=[1]OUT_TransportEnergyCons!$B$3:$B$1000)*1,ISNUMBER(SEARCH("DSL",[1]OUT_TransportEnergyCons!$C$3:$C$1000))*1,[1]OUT_TransportEnergyCons!I$3:I$1000)</f>
        <v>5.3879754237752937E-7</v>
      </c>
    </row>
    <row r="1336" spans="2:11" x14ac:dyDescent="0.35">
      <c r="B1336" s="5" t="str">
        <f t="shared" si="800"/>
        <v>SPS2</v>
      </c>
      <c r="C1336" s="5" t="str">
        <f t="shared" si="791"/>
        <v>CH</v>
      </c>
      <c r="D1336" t="s">
        <v>1328</v>
      </c>
      <c r="E1336" t="s">
        <v>8</v>
      </c>
      <c r="F1336" s="1" cm="1">
        <f t="array" ref="F1336">SUMPRODUCT(("T_B_u-ICEDSL-S2"=[1]OUT_TransportEnergyCons!$A$3:$A$1000)*1,("Var_Fin"=[1]OUT_TransportEnergyCons!$B$3:$B$1000)*1,ISNUMBER(SEARCH("DSL",[1]OUT_TransportEnergyCons!$C$3:$C$1000))*1,[1]OUT_TransportEnergyCons!D$3:D$1000)</f>
        <v>0.1057016689989245</v>
      </c>
      <c r="G1336" s="1" cm="1">
        <f t="array" ref="G1336">SUMPRODUCT(("T_B_u-ICEDSL-S2"=[1]OUT_TransportEnergyCons!$A$3:$A$1000)*1,("Var_Fin"=[1]OUT_TransportEnergyCons!$B$3:$B$1000)*1,ISNUMBER(SEARCH("DSL",[1]OUT_TransportEnergyCons!$C$3:$C$1000))*1,[1]OUT_TransportEnergyCons!E$3:E$1000)</f>
        <v>0.13050414725575968</v>
      </c>
      <c r="H1336" s="1" cm="1">
        <f t="array" ref="H1336">SUMPRODUCT(("T_B_u-ICEDSL-S2"=[1]OUT_TransportEnergyCons!$A$3:$A$1000)*1,("Var_Fin"=[1]OUT_TransportEnergyCons!$B$3:$B$1000)*1,ISNUMBER(SEARCH("DSL",[1]OUT_TransportEnergyCons!$C$3:$C$1000))*1,[1]OUT_TransportEnergyCons!F$3:F$1000)</f>
        <v>0.2137674478264312</v>
      </c>
      <c r="I1336" s="1" cm="1">
        <f t="array" ref="I1336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SUMPRODUCT(("T_B_u-ICEDSL-S2"=[1]OUT_TransportEnergyCons!$A$3:$A$1000)*1,("Var_Fin"=[1]OUT_TransportEnergyCons!$B$3:$B$1000)*1,ISNUMBER(SEARCH("DSL",[1]OUT_TransportEnergyCons!$C$3:$C$1000))*1,[1]OUT_TransportEnergyCons!I$3:I$1000)</f>
        <v>1.2931408740120039E-6</v>
      </c>
    </row>
    <row r="1337" spans="2:11" x14ac:dyDescent="0.35">
      <c r="B1337" s="5" t="str">
        <f t="shared" si="800"/>
        <v>SPS2</v>
      </c>
      <c r="C1337" s="5" t="str">
        <f t="shared" si="791"/>
        <v>CH</v>
      </c>
      <c r="D1337" t="s">
        <v>1329</v>
      </c>
      <c r="E1337" t="s">
        <v>8</v>
      </c>
      <c r="F1337" s="1" cm="1">
        <f t="array" ref="F1337">SUMPRODUCT(("T_B_u-ICEDSL-S3"=[1]OUT_TransportEnergyCons!$A$3:$A$1000)*1,("Var_Fin"=[1]OUT_TransportEnergyCons!$B$3:$B$1000)*1,ISNUMBER(SEARCH("DSL",[1]OUT_TransportEnergyCons!$C$3:$C$1000))*1,[1]OUT_TransportEnergyCons!D$3:D$1000)</f>
        <v>0.61410908562231714</v>
      </c>
      <c r="G1337" s="1" cm="1">
        <f t="array" ref="G1337">SUMPRODUCT(("T_B_u-ICEDSL-S3"=[1]OUT_TransportEnergyCons!$A$3:$A$1000)*1,("Var_Fin"=[1]OUT_TransportEnergyCons!$B$3:$B$1000)*1,ISNUMBER(SEARCH("DSL",[1]OUT_TransportEnergyCons!$C$3:$C$1000))*1,[1]OUT_TransportEnergyCons!E$3:E$1000)</f>
        <v>0.89352406377132632</v>
      </c>
      <c r="H1337" s="1" cm="1">
        <f t="array" ref="H1337">SUMPRODUCT(("T_B_u-ICEDSL-S3"=[1]OUT_TransportEnergyCons!$A$3:$A$1000)*1,("Var_Fin"=[1]OUT_TransportEnergyCons!$B$3:$B$1000)*1,ISNUMBER(SEARCH("DSL",[1]OUT_TransportEnergyCons!$C$3:$C$1000))*1,[1]OUT_TransportEnergyCons!F$3:F$1000)</f>
        <v>1.5658533258085674</v>
      </c>
      <c r="I1337" s="1" cm="1">
        <f t="array" ref="I1337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7" s="1" cm="1">
        <f t="array" ref="J1337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SUMPRODUCT(("T_B_u-ICEDSL-S3"=[1]OUT_TransportEnergyCons!$A$3:$A$1000)*1,("Var_Fin"=[1]OUT_TransportEnergyCons!$B$3:$B$1000)*1,ISNUMBER(SEARCH("DSL",[1]OUT_TransportEnergyCons!$C$3:$C$1000))*1,[1]OUT_TransportEnergyCons!I$3:I$1000)</f>
        <v>2.1094428723342755E-5</v>
      </c>
    </row>
    <row r="1338" spans="2:11" x14ac:dyDescent="0.35">
      <c r="B1338" s="5" t="str">
        <f t="shared" si="800"/>
        <v>SPS2</v>
      </c>
      <c r="C1338" s="5" t="str">
        <f t="shared" si="791"/>
        <v>CH</v>
      </c>
      <c r="D1338" t="s">
        <v>1330</v>
      </c>
      <c r="E1338" t="s">
        <v>8</v>
      </c>
      <c r="F1338" s="1" cm="1">
        <f t="array" ref="F1338">SUMPRODUCT(("T_B_u-ICEDSL-S4"=[1]OUT_TransportEnergyCons!$A$3:$A$1000)*1,("Var_Fin"=[1]OUT_TransportEnergyCons!$B$3:$B$1000)*1,ISNUMBER(SEARCH("DSL",[1]OUT_TransportEnergyCons!$C$3:$C$1000))*1,[1]OUT_TransportEnergyCons!D$3:D$1000)</f>
        <v>7.1694448376842567E-3</v>
      </c>
      <c r="G1338" s="1" cm="1">
        <f t="array" ref="G1338">SUMPRODUCT(("T_B_u-ICEDSL-S4"=[1]OUT_TransportEnergyCons!$A$3:$A$1000)*1,("Var_Fin"=[1]OUT_TransportEnergyCons!$B$3:$B$1000)*1,ISNUMBER(SEARCH("DSL",[1]OUT_TransportEnergyCons!$C$3:$C$1000))*1,[1]OUT_TransportEnergyCons!E$3:E$1000)</f>
        <v>1.0598542317892701E-3</v>
      </c>
      <c r="H1338" s="1" cm="1">
        <f t="array" ref="H1338">SUMPRODUCT(("T_B_u-ICEDSL-S4"=[1]OUT_TransportEnergyCons!$A$3:$A$1000)*1,("Var_Fin"=[1]OUT_TransportEnergyCons!$B$3:$B$1000)*1,ISNUMBER(SEARCH("DSL",[1]OUT_TransportEnergyCons!$C$3:$C$1000))*1,[1]OUT_TransportEnergyCons!F$3:F$1000)</f>
        <v>1.43411514853996E-3</v>
      </c>
      <c r="I1338" s="1" cm="1">
        <f t="array" ref="I1338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SUMPRODUCT(("T_B_u-ICEDSL-S4"=[1]OUT_TransportEnergyCons!$A$3:$A$1000)*1,("Var_Fin"=[1]OUT_TransportEnergyCons!$B$3:$B$1000)*1,ISNUMBER(SEARCH("DSL",[1]OUT_TransportEnergyCons!$C$3:$C$1000))*1,[1]OUT_TransportEnergyCons!I$3:I$1000)</f>
        <v>1.4113204867110872E-5</v>
      </c>
    </row>
    <row r="1339" spans="2:11" x14ac:dyDescent="0.35">
      <c r="B1339" s="5" t="str">
        <f t="shared" si="800"/>
        <v>SPS2</v>
      </c>
      <c r="C1339" s="5" t="str">
        <f t="shared" si="791"/>
        <v>CH</v>
      </c>
      <c r="D1339" t="s">
        <v>1344</v>
      </c>
      <c r="E1339" t="s">
        <v>8</v>
      </c>
      <c r="F1339" s="1">
        <f>SUM(F1344:F1348)</f>
        <v>3.1287772605104018E-4</v>
      </c>
      <c r="G1339" s="1">
        <f t="shared" ref="G1339:K1339" si="801">SUM(G1344:G1348)</f>
        <v>6.0691370080329984E-3</v>
      </c>
      <c r="H1339" s="1">
        <f t="shared" si="801"/>
        <v>2.8886031544899084E-2</v>
      </c>
      <c r="I1339" s="1">
        <f t="shared" si="801"/>
        <v>2.848376008786638E-4</v>
      </c>
      <c r="J1339" s="1">
        <f t="shared" si="801"/>
        <v>1.2373860895539457E-4</v>
      </c>
      <c r="K1339" s="1">
        <f t="shared" si="801"/>
        <v>1.0434460211345388E-4</v>
      </c>
    </row>
    <row r="1340" spans="2:11" x14ac:dyDescent="0.35">
      <c r="B1340" s="5" t="str">
        <f t="shared" si="800"/>
        <v>SPS2</v>
      </c>
      <c r="C1340" s="5" t="str">
        <f t="shared" si="791"/>
        <v>CH</v>
      </c>
      <c r="D1340" t="s">
        <v>1345</v>
      </c>
      <c r="E1340" t="s">
        <v>8</v>
      </c>
      <c r="F1340" s="1">
        <f>F1339-F1341</f>
        <v>2.8903046567758402E-4</v>
      </c>
      <c r="G1340" s="1">
        <f t="shared" ref="G1340:K1340" si="802">G1339-G1341</f>
        <v>5.4847289075876686E-3</v>
      </c>
      <c r="H1340" s="1">
        <f t="shared" si="802"/>
        <v>2.6163911135523996E-2</v>
      </c>
      <c r="I1340" s="1">
        <f t="shared" si="802"/>
        <v>2.3759155601117069E-4</v>
      </c>
      <c r="J1340" s="1">
        <f t="shared" si="802"/>
        <v>-0.14514156610546572</v>
      </c>
      <c r="K1340" s="1">
        <f t="shared" si="802"/>
        <v>-1.8069050538051838</v>
      </c>
    </row>
    <row r="1341" spans="2:11" x14ac:dyDescent="0.35">
      <c r="B1341" s="5" t="str">
        <f t="shared" si="800"/>
        <v>SPS2</v>
      </c>
      <c r="C1341" s="5" t="str">
        <f t="shared" si="791"/>
        <v>CH</v>
      </c>
      <c r="D1341" t="s">
        <v>1346</v>
      </c>
      <c r="E1341" t="s">
        <v>8</v>
      </c>
      <c r="F1341" s="1">
        <f>SUM(F1342:F1343)</f>
        <v>2.3847260373456151E-5</v>
      </c>
      <c r="G1341" s="1">
        <f t="shared" ref="G1341" si="803">SUM(G1342:G1343)</f>
        <v>5.8440810044532981E-4</v>
      </c>
      <c r="H1341" s="1">
        <f t="shared" ref="H1341" si="804">SUM(H1342:H1343)</f>
        <v>2.7221204093750878E-3</v>
      </c>
      <c r="I1341" s="1">
        <f t="shared" ref="I1341" si="805">SUM(I1342:I1343)</f>
        <v>4.7246044867493104E-5</v>
      </c>
      <c r="J1341" s="1">
        <f t="shared" ref="J1341" si="806">SUM(J1342:J1343)</f>
        <v>0.14526530471442112</v>
      </c>
      <c r="K1341" s="1">
        <f t="shared" ref="K1341" si="807">SUM(K1342:K1343)</f>
        <v>1.8070093984072972</v>
      </c>
    </row>
    <row r="1342" spans="2:11" x14ac:dyDescent="0.35">
      <c r="B1342" s="5" t="str">
        <f t="shared" si="800"/>
        <v>SPS2</v>
      </c>
      <c r="C1342" s="5" t="str">
        <f t="shared" si="791"/>
        <v>CH</v>
      </c>
      <c r="D1342" t="s">
        <v>1347</v>
      </c>
      <c r="E1342" t="s">
        <v>8</v>
      </c>
      <c r="F1342" s="1">
        <f>[1]Transport!B$27/SUM([1]Transport!B$24,[1]Transport!B$27)*F1339*(F$45+F$612)/(F$45+F$612+F$47)</f>
        <v>2.3847260373456151E-5</v>
      </c>
      <c r="G1342" s="1">
        <f>[1]Transport!C$27/SUM([1]Transport!C$24,[1]Transport!C$27)*G1339*(G$45+G$612)/(G$45+G$612+G$47)</f>
        <v>5.8440810044532981E-4</v>
      </c>
      <c r="H1342" s="1">
        <f>[1]Transport!D$27/SUM([1]Transport!D$24,[1]Transport!D$27)*H1339*(H$45+H$612)/(H$45+H$612+H$47)</f>
        <v>2.7221204093750878E-3</v>
      </c>
      <c r="I1342" s="1">
        <f>[1]Transport!E$27/SUM([1]Transport!E$24,[1]Transport!E$27)*I1339*(I$45+I$612)/(I$45+I$612+I$47)</f>
        <v>4.7246044867493104E-5</v>
      </c>
      <c r="J1342" s="1">
        <f>[1]Transport!F$27/SUM([1]Transport!F$24,[1]Transport!F$27)*J1339*(J$45+J$612)/(J$45+J$612+J$47)</f>
        <v>3.4263323388101319E-5</v>
      </c>
      <c r="K1342" s="1">
        <f>[1]Transport!G$27/SUM([1]Transport!G$24,[1]Transport!G$27)*K1339*(K$45+K$612)/(K$45+K$612+K$47)</f>
        <v>5.1430860695365931E-5</v>
      </c>
    </row>
    <row r="1343" spans="2:11" x14ac:dyDescent="0.35">
      <c r="B1343" s="5" t="str">
        <f t="shared" si="800"/>
        <v>SPS2</v>
      </c>
      <c r="C1343" s="5" t="str">
        <f t="shared" si="791"/>
        <v>CH</v>
      </c>
      <c r="D1343" t="s">
        <v>1348</v>
      </c>
      <c r="E1343" t="s">
        <v>8</v>
      </c>
      <c r="F1343" s="1">
        <f>(F$47+F$714)/([1]Transport!B$24+[1]Transport!B$27)*F1339</f>
        <v>0</v>
      </c>
      <c r="G1343" s="1">
        <f>(G$47+G$714)/([1]Transport!C$24+[1]Transport!C$27)*G1339</f>
        <v>0</v>
      </c>
      <c r="H1343" s="1">
        <f>(H$47+H$714)/([1]Transport!D$24+[1]Transport!D$27)*H1339</f>
        <v>0</v>
      </c>
      <c r="I1343" s="1">
        <f>(I$47+I$714)/([1]Transport!E$24+[1]Transport!E$27)*I1339</f>
        <v>0</v>
      </c>
      <c r="J1343" s="1">
        <f>(J$47+J$714)/([1]Transport!F$24+[1]Transport!F$27)*J1339</f>
        <v>0.14523104139103302</v>
      </c>
      <c r="K1343" s="1">
        <f>(K$47+K$714)/([1]Transport!G$24+[1]Transport!G$27)*K1339</f>
        <v>1.8069579675466019</v>
      </c>
    </row>
    <row r="1344" spans="2:11" x14ac:dyDescent="0.35">
      <c r="B1344" s="5" t="str">
        <f t="shared" si="800"/>
        <v>SPS2</v>
      </c>
      <c r="C1344" s="5" t="str">
        <f t="shared" si="791"/>
        <v>CH</v>
      </c>
      <c r="D1344" t="s">
        <v>2005</v>
      </c>
      <c r="E1344" t="s">
        <v>8</v>
      </c>
      <c r="F1344" s="1" cm="1">
        <f t="array" ref="F1344">SUMPRODUCT(("T_B_u-ICEngaEXT"=[1]OUT_TransportEnergyCons!$A$3:$A$1000)*1,("Var_Fin"=[1]OUT_TransportEnergyCons!$B$3:$B$1000)*1,ISNUMBER(SEARCH("nga",[1]OUT_TransportEnergyCons!$C$3:$C$1000))*1,[1]OUT_TransportEnergyCons!D$3:D$1000)</f>
        <v>3.1287772605104018E-4</v>
      </c>
      <c r="G1344" s="1" cm="1">
        <f t="array" ref="G1344">SUMPRODUCT(("T_B_u-ICEngaEXT"=[1]OUT_TransportEnergyCons!$A$3:$A$1000)*1,("Var_Fin"=[1]OUT_TransportEnergyCons!$B$3:$B$1000)*1,ISNUMBER(SEARCH("nga",[1]OUT_TransportEnergyCons!$C$3:$C$1000))*1,[1]OUT_TransportEnergyCons!E$3:E$1000)</f>
        <v>3.1764544823842817E-4</v>
      </c>
      <c r="H1344" s="1" cm="1">
        <f t="array" ref="H1344">SUMPRODUCT(("T_B_u-ICEngaEXT"=[1]OUT_TransportEnergyCons!$A$3:$A$1000)*1,("Var_Fin"=[1]OUT_TransportEnergyCons!$B$3:$B$1000)*1,ISNUMBER(SEARCH("nga",[1]OUT_TransportEnergyCons!$C$3:$C$1000))*1,[1]OUT_TransportEnergyCons!F$3:F$1000)</f>
        <v>3.1680007740239743E-4</v>
      </c>
      <c r="I1344" s="1" cm="1">
        <f t="array" ref="I1344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4" s="1" cm="1">
        <f t="array" ref="J1344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4" s="1" cm="1">
        <f t="array" ref="K1344">SUMPRODUCT(("T_B_u-ICEngaEXT"=[1]OUT_TransportEnergyCons!$A$3:$A$1000)*1,("Var_Fin"=[1]OUT_TransportEnergyCons!$B$3:$B$1000)*1,ISNUMBER(SEARCH("nga",[1]OUT_TransportEnergyCons!$C$3:$C$1000))*1,[1]OUT_TransportEnergyCons!I$3:I$1000)</f>
        <v>0</v>
      </c>
    </row>
    <row r="1345" spans="2:11" x14ac:dyDescent="0.35">
      <c r="B1345" s="5" t="str">
        <f t="shared" si="800"/>
        <v>SPS2</v>
      </c>
      <c r="C1345" s="5" t="str">
        <f t="shared" si="791"/>
        <v>CH</v>
      </c>
      <c r="D1345" t="s">
        <v>1340</v>
      </c>
      <c r="E1345" t="s">
        <v>8</v>
      </c>
      <c r="F1345" s="1" cm="1">
        <f t="array" ref="F1345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5" s="1" cm="1">
        <f t="array" ref="G1345">SUMPRODUCT(("T_B_u-ICEnga-S1"=[1]OUT_TransportEnergyCons!$A$3:$A$1000)*1,("Var_Fin"=[1]OUT_TransportEnergyCons!$B$3:$B$1000)*1,ISNUMBER(SEARCH("nga",[1]OUT_TransportEnergyCons!$C$3:$C$1000))*1,[1]OUT_TransportEnergyCons!E$3:E$1000)</f>
        <v>2.7704044311212435E-3</v>
      </c>
      <c r="H1345" s="1" cm="1">
        <f t="array" ref="H1345">SUMPRODUCT(("T_B_u-ICEnga-S1"=[1]OUT_TransportEnergyCons!$A$3:$A$1000)*1,("Var_Fin"=[1]OUT_TransportEnergyCons!$B$3:$B$1000)*1,ISNUMBER(SEARCH("nga",[1]OUT_TransportEnergyCons!$C$3:$C$1000))*1,[1]OUT_TransportEnergyCons!F$3:F$1000)</f>
        <v>4.8088784802335317E-3</v>
      </c>
      <c r="I1345" s="1" cm="1">
        <f t="array" ref="I1345">SUMPRODUCT(("T_B_u-ICEnga-S1"=[1]OUT_TransportEnergyCons!$A$3:$A$1000)*1,("Var_Fin"=[1]OUT_TransportEnergyCons!$B$3:$B$1000)*1,ISNUMBER(SEARCH("nga",[1]OUT_TransportEnergyCons!$C$3:$C$1000))*1,[1]OUT_TransportEnergyCons!G$3:G$1000)</f>
        <v>6.5290091662504091E-5</v>
      </c>
      <c r="J1345" s="1" cm="1">
        <f t="array" ref="J1345">SUMPRODUCT(("T_B_u-ICEnga-S1"=[1]OUT_TransportEnergyCons!$A$3:$A$1000)*1,("Var_Fin"=[1]OUT_TransportEnergyCons!$B$3:$B$1000)*1,ISNUMBER(SEARCH("nga",[1]OUT_TransportEnergyCons!$C$3:$C$1000))*1,[1]OUT_TransportEnergyCons!H$3:H$1000)</f>
        <v>2.6817852394136402E-5</v>
      </c>
      <c r="K1345" s="1" cm="1">
        <f t="array" ref="K1345">SUMPRODUCT(("T_B_u-ICEnga-S1"=[1]OUT_TransportEnergyCons!$A$3:$A$1000)*1,("Var_Fin"=[1]OUT_TransportEnergyCons!$B$3:$B$1000)*1,ISNUMBER(SEARCH("nga",[1]OUT_TransportEnergyCons!$C$3:$C$1000))*1,[1]OUT_TransportEnergyCons!I$3:I$1000)</f>
        <v>1.0850693914233685E-5</v>
      </c>
    </row>
    <row r="1346" spans="2:11" x14ac:dyDescent="0.35">
      <c r="B1346" s="5" t="str">
        <f t="shared" si="800"/>
        <v>SPS2</v>
      </c>
      <c r="C1346" s="5" t="str">
        <f t="shared" si="791"/>
        <v>CH</v>
      </c>
      <c r="D1346" t="s">
        <v>1341</v>
      </c>
      <c r="E1346" t="s">
        <v>8</v>
      </c>
      <c r="F1346" s="1" cm="1">
        <f t="array" ref="F1346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6" s="1" cm="1">
        <f t="array" ref="G1346">SUMPRODUCT(("T_B_u-ICEnga-S2"=[1]OUT_TransportEnergyCons!$A$3:$A$1000)*1,("Var_Fin"=[1]OUT_TransportEnergyCons!$B$3:$B$1000)*1,ISNUMBER(SEARCH("nga",[1]OUT_TransportEnergyCons!$C$3:$C$1000))*1,[1]OUT_TransportEnergyCons!E$3:E$1000)</f>
        <v>1.1527774887175777E-3</v>
      </c>
      <c r="H1346" s="1" cm="1">
        <f t="array" ref="H1346">SUMPRODUCT(("T_B_u-ICEnga-S2"=[1]OUT_TransportEnergyCons!$A$3:$A$1000)*1,("Var_Fin"=[1]OUT_TransportEnergyCons!$B$3:$B$1000)*1,ISNUMBER(SEARCH("nga",[1]OUT_TransportEnergyCons!$C$3:$C$1000))*1,[1]OUT_TransportEnergyCons!F$3:F$1000)</f>
        <v>4.8349913499301008E-3</v>
      </c>
      <c r="I1346" s="1" cm="1">
        <f t="array" ref="I1346">SUMPRODUCT(("T_B_u-ICEnga-S2"=[1]OUT_TransportEnergyCons!$A$3:$A$1000)*1,("Var_Fin"=[1]OUT_TransportEnergyCons!$B$3:$B$1000)*1,ISNUMBER(SEARCH("nga",[1]OUT_TransportEnergyCons!$C$3:$C$1000))*1,[1]OUT_TransportEnergyCons!G$3:G$1000)</f>
        <v>5.088723279033924E-5</v>
      </c>
      <c r="J1346" s="1" cm="1">
        <f t="array" ref="J1346">SUMPRODUCT(("T_B_u-ICEnga-S2"=[1]OUT_TransportEnergyCons!$A$3:$A$1000)*1,("Var_Fin"=[1]OUT_TransportEnergyCons!$B$3:$B$1000)*1,ISNUMBER(SEARCH("nga",[1]OUT_TransportEnergyCons!$C$3:$C$1000))*1,[1]OUT_TransportEnergyCons!H$3:H$1000)</f>
        <v>2.4798275752007778E-5</v>
      </c>
      <c r="K1346" s="1" cm="1">
        <f t="array" ref="K1346">SUMPRODUCT(("T_B_u-ICEnga-S2"=[1]OUT_TransportEnergyCons!$A$3:$A$1000)*1,("Var_Fin"=[1]OUT_TransportEnergyCons!$B$3:$B$1000)*1,ISNUMBER(SEARCH("nga",[1]OUT_TransportEnergyCons!$C$3:$C$1000))*1,[1]OUT_TransportEnergyCons!I$3:I$1000)</f>
        <v>8.1069967703687401E-6</v>
      </c>
    </row>
    <row r="1347" spans="2:11" x14ac:dyDescent="0.35">
      <c r="B1347" s="5" t="str">
        <f t="shared" si="800"/>
        <v>SPS2</v>
      </c>
      <c r="C1347" s="5" t="str">
        <f t="shared" si="791"/>
        <v>CH</v>
      </c>
      <c r="D1347" t="s">
        <v>1342</v>
      </c>
      <c r="E1347" t="s">
        <v>8</v>
      </c>
      <c r="F1347" s="1" cm="1">
        <f t="array" ref="F1347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SUMPRODUCT(("T_B_u-ICEnga-S3"=[1]OUT_TransportEnergyCons!$A$3:$A$1000)*1,("Var_Fin"=[1]OUT_TransportEnergyCons!$B$3:$B$1000)*1,ISNUMBER(SEARCH("nga",[1]OUT_TransportEnergyCons!$C$3:$C$1000))*1,[1]OUT_TransportEnergyCons!E$3:E$1000)</f>
        <v>1.7347164053028688E-3</v>
      </c>
      <c r="H1347" s="1" cm="1">
        <f t="array" ref="H1347">SUMPRODUCT(("T_B_u-ICEnga-S3"=[1]OUT_TransportEnergyCons!$A$3:$A$1000)*1,("Var_Fin"=[1]OUT_TransportEnergyCons!$B$3:$B$1000)*1,ISNUMBER(SEARCH("nga",[1]OUT_TransportEnergyCons!$C$3:$C$1000))*1,[1]OUT_TransportEnergyCons!F$3:F$1000)</f>
        <v>1.8704909145917579E-2</v>
      </c>
      <c r="I1347" s="1" cm="1">
        <f t="array" ref="I1347">SUMPRODUCT(("T_B_u-ICEnga-S3"=[1]OUT_TransportEnergyCons!$A$3:$A$1000)*1,("Var_Fin"=[1]OUT_TransportEnergyCons!$B$3:$B$1000)*1,ISNUMBER(SEARCH("nga",[1]OUT_TransportEnergyCons!$C$3:$C$1000))*1,[1]OUT_TransportEnergyCons!G$3:G$1000)</f>
        <v>1.301544409712272E-4</v>
      </c>
      <c r="J1347" s="1" cm="1">
        <f t="array" ref="J1347">SUMPRODUCT(("T_B_u-ICEnga-S3"=[1]OUT_TransportEnergyCons!$A$3:$A$1000)*1,("Var_Fin"=[1]OUT_TransportEnergyCons!$B$3:$B$1000)*1,ISNUMBER(SEARCH("nga",[1]OUT_TransportEnergyCons!$C$3:$C$1000))*1,[1]OUT_TransportEnergyCons!H$3:H$1000)</f>
        <v>4.0573548643039704E-5</v>
      </c>
      <c r="K1347" s="1" cm="1">
        <f t="array" ref="K1347">SUMPRODUCT(("T_B_u-ICEnga-S3"=[1]OUT_TransportEnergyCons!$A$3:$A$1000)*1,("Var_Fin"=[1]OUT_TransportEnergyCons!$B$3:$B$1000)*1,ISNUMBER(SEARCH("nga",[1]OUT_TransportEnergyCons!$C$3:$C$1000))*1,[1]OUT_TransportEnergyCons!I$3:I$1000)</f>
        <v>4.8858774679571548E-5</v>
      </c>
    </row>
    <row r="1348" spans="2:11" x14ac:dyDescent="0.35">
      <c r="B1348" s="5" t="str">
        <f t="shared" si="800"/>
        <v>SPS2</v>
      </c>
      <c r="C1348" s="5" t="str">
        <f t="shared" si="791"/>
        <v>CH</v>
      </c>
      <c r="D1348" t="s">
        <v>1343</v>
      </c>
      <c r="E1348" t="s">
        <v>8</v>
      </c>
      <c r="F1348" s="1" cm="1">
        <f t="array" ref="F1348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SUMPRODUCT(("T_B_u-ICEnga-S4"=[1]OUT_TransportEnergyCons!$A$3:$A$1000)*1,("Var_Fin"=[1]OUT_TransportEnergyCons!$B$3:$B$1000)*1,ISNUMBER(SEARCH("nga",[1]OUT_TransportEnergyCons!$C$3:$C$1000))*1,[1]OUT_TransportEnergyCons!E$3:E$1000)</f>
        <v>9.3593234652879724E-5</v>
      </c>
      <c r="H1348" s="1" cm="1">
        <f t="array" ref="H1348">SUMPRODUCT(("T_B_u-ICEnga-S4"=[1]OUT_TransportEnergyCons!$A$3:$A$1000)*1,("Var_Fin"=[1]OUT_TransportEnergyCons!$B$3:$B$1000)*1,ISNUMBER(SEARCH("nga",[1]OUT_TransportEnergyCons!$C$3:$C$1000))*1,[1]OUT_TransportEnergyCons!F$3:F$1000)</f>
        <v>2.2045249141547461E-4</v>
      </c>
      <c r="I1348" s="1" cm="1">
        <f t="array" ref="I1348">SUMPRODUCT(("T_B_u-ICEnga-S4"=[1]OUT_TransportEnergyCons!$A$3:$A$1000)*1,("Var_Fin"=[1]OUT_TransportEnergyCons!$B$3:$B$1000)*1,ISNUMBER(SEARCH("nga",[1]OUT_TransportEnergyCons!$C$3:$C$1000))*1,[1]OUT_TransportEnergyCons!G$3:G$1000)</f>
        <v>3.8505835454593275E-5</v>
      </c>
      <c r="J1348" s="1" cm="1">
        <f t="array" ref="J1348">SUMPRODUCT(("T_B_u-ICEnga-S4"=[1]OUT_TransportEnergyCons!$A$3:$A$1000)*1,("Var_Fin"=[1]OUT_TransportEnergyCons!$B$3:$B$1000)*1,ISNUMBER(SEARCH("nga",[1]OUT_TransportEnergyCons!$C$3:$C$1000))*1,[1]OUT_TransportEnergyCons!H$3:H$1000)</f>
        <v>3.154893216621068E-5</v>
      </c>
      <c r="K1348" s="1" cm="1">
        <f t="array" ref="K1348">SUMPRODUCT(("T_B_u-ICEnga-S4"=[1]OUT_TransportEnergyCons!$A$3:$A$1000)*1,("Var_Fin"=[1]OUT_TransportEnergyCons!$B$3:$B$1000)*1,ISNUMBER(SEARCH("nga",[1]OUT_TransportEnergyCons!$C$3:$C$1000))*1,[1]OUT_TransportEnergyCons!I$3:I$1000)</f>
        <v>3.6528136749279916E-5</v>
      </c>
    </row>
    <row r="1349" spans="2:11" x14ac:dyDescent="0.35">
      <c r="B1349" s="5" t="str">
        <f t="shared" si="800"/>
        <v>SPS2</v>
      </c>
      <c r="C1349" s="5" t="str">
        <f>C1348</f>
        <v>CH</v>
      </c>
      <c r="D1349" s="2" t="s">
        <v>1349</v>
      </c>
      <c r="E1349" s="2" t="s">
        <v>1132</v>
      </c>
      <c r="F1349" s="3">
        <f>SUM(F1350:F1372)</f>
        <v>0.29552465688414314</v>
      </c>
      <c r="G1349" s="3">
        <f t="shared" ref="G1349:K1349" si="808">SUM(G1350:G1372)</f>
        <v>0.30122794159395849</v>
      </c>
      <c r="H1349" s="3">
        <f t="shared" si="808"/>
        <v>0.30917849157451466</v>
      </c>
      <c r="I1349" s="3">
        <f t="shared" si="808"/>
        <v>0.32282404501261158</v>
      </c>
      <c r="J1349" s="3">
        <f t="shared" si="808"/>
        <v>0.3512393665865895</v>
      </c>
      <c r="K1349" s="3">
        <f t="shared" si="808"/>
        <v>0.37572179800872579</v>
      </c>
    </row>
    <row r="1350" spans="2:11" x14ac:dyDescent="0.35">
      <c r="B1350" s="5" t="str">
        <f t="shared" si="800"/>
        <v>SPS2</v>
      </c>
      <c r="C1350" s="5" t="str">
        <f>C1349</f>
        <v>CH</v>
      </c>
      <c r="D1350" t="s">
        <v>1350</v>
      </c>
      <c r="E1350" t="str">
        <f>E1349</f>
        <v>billion km/yr.</v>
      </c>
      <c r="F1350" s="1" cm="1">
        <f t="array" ref="F1350">SUMPRODUCT(("T_B_u-BeVELCEXT"=[1]OUT_TransportEnergyCons!$A$3:$A$1000)*1,("var_fout"=[1]OUT_TransportEnergyCons!$B$3:$B$1000)*1,ISNUMBER(SEARCH("tpbsu",[1]OUT_TransportEnergyCons!$C$3:$C$1000))*1,[1]OUT_TransportEnergyCons!D$3:D$1000)</f>
        <v>1.9616087306409779E-3</v>
      </c>
      <c r="G1350" s="1" cm="1">
        <f t="array" ref="G1350">SUMPRODUCT(("T_B_u-BeVELCEXT"=[1]OUT_TransportEnergyCons!$A$3:$A$1000)*1,("var_fout"=[1]OUT_TransportEnergyCons!$B$3:$B$1000)*1,ISNUMBER(SEARCH("tpbsu",[1]OUT_TransportEnergyCons!$C$3:$C$1000))*1,[1]OUT_TransportEnergyCons!E$3:E$1000)</f>
        <v>1.6156121901406808E-3</v>
      </c>
      <c r="H1350" s="1" cm="1">
        <f t="array" ref="H1350">SUMPRODUCT(("T_B_u-BeVELCEXT"=[1]OUT_TransportEnergyCons!$A$3:$A$1000)*1,("var_fout"=[1]OUT_TransportEnergyCons!$B$3:$B$1000)*1,ISNUMBER(SEARCH("tpbsu",[1]OUT_TransportEnergyCons!$C$3:$C$1000))*1,[1]OUT_TransportEnergyCons!F$3:F$1000)</f>
        <v>1.0085037644775941E-3</v>
      </c>
      <c r="I1350" s="1" cm="1">
        <f t="array" ref="I1350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0" s="1" cm="1">
        <f t="array" ref="J1350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0" s="1" cm="1">
        <f t="array" ref="K1350">SUMPRODUCT(("T_B_u-BeVELCEXT"=[1]OUT_TransportEnergyCons!$A$3:$A$1000)*1,("var_fout"=[1]OUT_TransportEnergyCons!$B$3:$B$1000)*1,ISNUMBER(SEARCH("tpbsu",[1]OUT_TransportEnergyCons!$C$3:$C$1000))*1,[1]OUT_TransportEnergyCons!I$3:I$1000)</f>
        <v>0</v>
      </c>
    </row>
    <row r="1351" spans="2:11" x14ac:dyDescent="0.35">
      <c r="B1351" s="5" t="str">
        <f t="shared" si="800"/>
        <v>SPS2</v>
      </c>
      <c r="C1351" s="5" t="str">
        <f t="shared" ref="C1351:C1372" si="809">C1350</f>
        <v>CH</v>
      </c>
      <c r="D1351" t="s">
        <v>1351</v>
      </c>
      <c r="E1351" t="str">
        <f t="shared" ref="E1351:E1372" si="810">E1350</f>
        <v>billion km/yr.</v>
      </c>
      <c r="F1351" s="1" cm="1">
        <f t="array" ref="F1351">SUMPRODUCT(("T_B_u-BEVELC-S1"=[1]OUT_TransportEnergyCons!$A$3:$A$1000)*1,("var_fout"=[1]OUT_TransportEnergyCons!$B$3:$B$1000)*1,ISNUMBER(SEARCH("tpbsu",[1]OUT_TransportEnergyCons!$C$3:$C$1000))*1,[1]OUT_TransportEnergyCons!D$3:D$1000)</f>
        <v>9.3160605250914286E-8</v>
      </c>
      <c r="G1351" s="1" cm="1">
        <f t="array" ref="G1351">SUMPRODUCT(("T_B_u-BEVELC-S1"=[1]OUT_TransportEnergyCons!$A$3:$A$1000)*1,("var_fout"=[1]OUT_TransportEnergyCons!$B$3:$B$1000)*1,ISNUMBER(SEARCH("tpbsu",[1]OUT_TransportEnergyCons!$C$3:$C$1000))*1,[1]OUT_TransportEnergyCons!E$3:E$1000)</f>
        <v>3.2283601494926288E-3</v>
      </c>
      <c r="H1351" s="1" cm="1">
        <f t="array" ref="H1351">SUMPRODUCT(("T_B_u-BEVELC-S1"=[1]OUT_TransportEnergyCons!$A$3:$A$1000)*1,("var_fout"=[1]OUT_TransportEnergyCons!$B$3:$B$1000)*1,ISNUMBER(SEARCH("tpbsu",[1]OUT_TransportEnergyCons!$C$3:$C$1000))*1,[1]OUT_TransportEnergyCons!F$3:F$1000)</f>
        <v>4.7219177793929512E-3</v>
      </c>
      <c r="I1351" s="1" cm="1">
        <f t="array" ref="I1351">SUMPRODUCT(("T_B_u-BEVELC-S1"=[1]OUT_TransportEnergyCons!$A$3:$A$1000)*1,("var_fout"=[1]OUT_TransportEnergyCons!$B$3:$B$1000)*1,ISNUMBER(SEARCH("tpbsu",[1]OUT_TransportEnergyCons!$C$3:$C$1000))*1,[1]OUT_TransportEnergyCons!G$3:G$1000)</f>
        <v>0.10596606336894022</v>
      </c>
      <c r="J1351" s="1" cm="1">
        <f t="array" ref="J1351">SUMPRODUCT(("T_B_u-BEVELC-S1"=[1]OUT_TransportEnergyCons!$A$3:$A$1000)*1,("var_fout"=[1]OUT_TransportEnergyCons!$B$3:$B$1000)*1,ISNUMBER(SEARCH("tpbsu",[1]OUT_TransportEnergyCons!$C$3:$C$1000))*1,[1]OUT_TransportEnergyCons!H$3:H$1000)</f>
        <v>0.1194815804388943</v>
      </c>
      <c r="K1351" s="1" cm="1">
        <f t="array" ref="K1351">SUMPRODUCT(("T_B_u-BEVELC-S1"=[1]OUT_TransportEnergyCons!$A$3:$A$1000)*1,("var_fout"=[1]OUT_TransportEnergyCons!$B$3:$B$1000)*1,ISNUMBER(SEARCH("tpbsu",[1]OUT_TransportEnergyCons!$C$3:$C$1000))*1,[1]OUT_TransportEnergyCons!I$3:I$1000)</f>
        <v>0.12783370757505844</v>
      </c>
    </row>
    <row r="1352" spans="2:11" x14ac:dyDescent="0.35">
      <c r="B1352" s="5" t="str">
        <f t="shared" si="800"/>
        <v>SPS2</v>
      </c>
      <c r="C1352" s="5" t="str">
        <f t="shared" si="809"/>
        <v>CH</v>
      </c>
      <c r="D1352" t="s">
        <v>1352</v>
      </c>
      <c r="E1352" t="str">
        <f t="shared" si="810"/>
        <v>billion km/yr.</v>
      </c>
      <c r="F1352" s="1" cm="1">
        <f t="array" ref="F1352">SUMPRODUCT(("T_B_u-BEVELC-S2"=[1]OUT_TransportEnergyCons!$A$3:$A$1000)*1,("var_fout"=[1]OUT_TransportEnergyCons!$B$3:$B$1000)*1,ISNUMBER(SEARCH("tpbsu",[1]OUT_TransportEnergyCons!$C$3:$C$1000))*1,[1]OUT_TransportEnergyCons!D$3:D$1000)</f>
        <v>4.1890881071533461E-4</v>
      </c>
      <c r="G1352" s="1" cm="1">
        <f t="array" ref="G1352">SUMPRODUCT(("T_B_u-BEVELC-S2"=[1]OUT_TransportEnergyCons!$A$3:$A$1000)*1,("var_fout"=[1]OUT_TransportEnergyCons!$B$3:$B$1000)*1,ISNUMBER(SEARCH("tpbsu",[1]OUT_TransportEnergyCons!$C$3:$C$1000))*1,[1]OUT_TransportEnergyCons!E$3:E$1000)</f>
        <v>9.1386243724571369E-4</v>
      </c>
      <c r="H1352" s="1" cm="1">
        <f t="array" ref="H1352">SUMPRODUCT(("T_B_u-BEVELC-S2"=[1]OUT_TransportEnergyCons!$A$3:$A$1000)*1,("var_fout"=[1]OUT_TransportEnergyCons!$B$3:$B$1000)*1,ISNUMBER(SEARCH("tpbsu",[1]OUT_TransportEnergyCons!$C$3:$C$1000))*1,[1]OUT_TransportEnergyCons!F$3:F$1000)</f>
        <v>2.7453401705496432E-3</v>
      </c>
      <c r="I1352" s="1" cm="1">
        <f t="array" ref="I1352">SUMPRODUCT(("T_B_u-BEVELC-S2"=[1]OUT_TransportEnergyCons!$A$3:$A$1000)*1,("var_fout"=[1]OUT_TransportEnergyCons!$B$3:$B$1000)*1,ISNUMBER(SEARCH("tpbsu",[1]OUT_TransportEnergyCons!$C$3:$C$1000))*1,[1]OUT_TransportEnergyCons!G$3:G$1000)</f>
        <v>3.9649746776436637E-2</v>
      </c>
      <c r="J1352" s="1" cm="1">
        <f t="array" ref="J1352">SUMPRODUCT(("T_B_u-BEVELC-S2"=[1]OUT_TransportEnergyCons!$A$3:$A$1000)*1,("var_fout"=[1]OUT_TransportEnergyCons!$B$3:$B$1000)*1,ISNUMBER(SEARCH("tpbsu",[1]OUT_TransportEnergyCons!$C$3:$C$1000))*1,[1]OUT_TransportEnergyCons!H$3:H$1000)</f>
        <v>4.313728640193519E-2</v>
      </c>
      <c r="K1352" s="1" cm="1">
        <f t="array" ref="K1352">SUMPRODUCT(("T_B_u-BEVELC-S2"=[1]OUT_TransportEnergyCons!$A$3:$A$1000)*1,("var_fout"=[1]OUT_TransportEnergyCons!$B$3:$B$1000)*1,ISNUMBER(SEARCH("tpbsu",[1]OUT_TransportEnergyCons!$C$3:$C$1000))*1,[1]OUT_TransportEnergyCons!I$3:I$1000)</f>
        <v>4.6141864968963719E-2</v>
      </c>
    </row>
    <row r="1353" spans="2:11" x14ac:dyDescent="0.35">
      <c r="B1353" s="5" t="str">
        <f t="shared" si="800"/>
        <v>SPS2</v>
      </c>
      <c r="C1353" s="5" t="str">
        <f t="shared" si="809"/>
        <v>CH</v>
      </c>
      <c r="D1353" t="s">
        <v>1353</v>
      </c>
      <c r="E1353" t="str">
        <f t="shared" si="810"/>
        <v>billion km/yr.</v>
      </c>
      <c r="F1353" s="1" cm="1">
        <f t="array" ref="F1353">SUMPRODUCT(("T_B_u-BEVELC-S3"=[1]OUT_TransportEnergyCons!$A$3:$A$1000)*1,("var_fout"=[1]OUT_TransportEnergyCons!$B$3:$B$1000)*1,ISNUMBER(SEARCH("tpbsu",[1]OUT_TransportEnergyCons!$C$3:$C$1000))*1,[1]OUT_TransportEnergyCons!D$3:D$1000)</f>
        <v>1.4488380771893884E-3</v>
      </c>
      <c r="G1353" s="1" cm="1">
        <f t="array" ref="G1353">SUMPRODUCT(("T_B_u-BEVELC-S3"=[1]OUT_TransportEnergyCons!$A$3:$A$1000)*1,("var_fout"=[1]OUT_TransportEnergyCons!$B$3:$B$1000)*1,ISNUMBER(SEARCH("tpbsu",[1]OUT_TransportEnergyCons!$C$3:$C$1000))*1,[1]OUT_TransportEnergyCons!E$3:E$1000)</f>
        <v>2.7208255913468643E-3</v>
      </c>
      <c r="H1353" s="1" cm="1">
        <f t="array" ref="H1353">SUMPRODUCT(("T_B_u-BEVELC-S3"=[1]OUT_TransportEnergyCons!$A$3:$A$1000)*1,("var_fout"=[1]OUT_TransportEnergyCons!$B$3:$B$1000)*1,ISNUMBER(SEARCH("tpbsu",[1]OUT_TransportEnergyCons!$C$3:$C$1000))*1,[1]OUT_TransportEnergyCons!F$3:F$1000)</f>
        <v>3.5865662259336171E-3</v>
      </c>
      <c r="I1353" s="1" cm="1">
        <f t="array" ref="I1353">SUMPRODUCT(("T_B_u-BEVELC-S3"=[1]OUT_TransportEnergyCons!$A$3:$A$1000)*1,("var_fout"=[1]OUT_TransportEnergyCons!$B$3:$B$1000)*1,ISNUMBER(SEARCH("tpbsu",[1]OUT_TransportEnergyCons!$C$3:$C$1000))*1,[1]OUT_TransportEnergyCons!G$3:G$1000)</f>
        <v>0.17329135763690756</v>
      </c>
      <c r="J1353" s="1" cm="1">
        <f t="array" ref="J1353">SUMPRODUCT(("T_B_u-BEVELC-S3"=[1]OUT_TransportEnergyCons!$A$3:$A$1000)*1,("var_fout"=[1]OUT_TransportEnergyCons!$B$3:$B$1000)*1,ISNUMBER(SEARCH("tpbsu",[1]OUT_TransportEnergyCons!$C$3:$C$1000))*1,[1]OUT_TransportEnergyCons!H$3:H$1000)</f>
        <v>0.18853550463957239</v>
      </c>
      <c r="K1353" s="1" cm="1">
        <f t="array" ref="K1353">SUMPRODUCT(("T_B_u-BEVELC-S3"=[1]OUT_TransportEnergyCons!$A$3:$A$1000)*1,("var_fout"=[1]OUT_TransportEnergyCons!$B$3:$B$1000)*1,ISNUMBER(SEARCH("tpbsu",[1]OUT_TransportEnergyCons!$C$3:$C$1000))*1,[1]OUT_TransportEnergyCons!I$3:I$1000)</f>
        <v>0.20168080248610945</v>
      </c>
    </row>
    <row r="1354" spans="2:11" x14ac:dyDescent="0.35">
      <c r="B1354" s="5" t="str">
        <f t="shared" si="800"/>
        <v>SPS2</v>
      </c>
      <c r="C1354" s="5" t="str">
        <f t="shared" si="809"/>
        <v>CH</v>
      </c>
      <c r="D1354" t="s">
        <v>1354</v>
      </c>
      <c r="E1354" t="str">
        <f t="shared" si="810"/>
        <v>billion km/yr.</v>
      </c>
      <c r="F1354" s="1" cm="1">
        <f t="array" ref="F1354">SUMPRODUCT(("T_B_u-BEVELC-S4"=[1]OUT_TransportEnergyCons!$A$3:$A$1000)*1,("var_fout"=[1]OUT_TransportEnergyCons!$B$3:$B$1000)*1,ISNUMBER(SEARCH("tpbsu",[1]OUT_TransportEnergyCons!$C$3:$C$1000))*1,[1]OUT_TransportEnergyCons!D$3:D$1000)</f>
        <v>5.6598507013010924E-5</v>
      </c>
      <c r="G1354" s="1" cm="1">
        <f t="array" ref="G1354">SUMPRODUCT(("T_B_u-BEVELC-S4"=[1]OUT_TransportEnergyCons!$A$3:$A$1000)*1,("var_fout"=[1]OUT_TransportEnergyCons!$B$3:$B$1000)*1,ISNUMBER(SEARCH("tpbsu",[1]OUT_TransportEnergyCons!$C$3:$C$1000))*1,[1]OUT_TransportEnergyCons!E$3:E$1000)</f>
        <v>1.0171033751002806E-4</v>
      </c>
      <c r="H1354" s="1" cm="1">
        <f t="array" ref="H1354">SUMPRODUCT(("T_B_u-BEVELC-S4"=[1]OUT_TransportEnergyCons!$A$3:$A$1000)*1,("var_fout"=[1]OUT_TransportEnergyCons!$B$3:$B$1000)*1,ISNUMBER(SEARCH("tpbsu",[1]OUT_TransportEnergyCons!$C$3:$C$1000))*1,[1]OUT_TransportEnergyCons!F$3:F$1000)</f>
        <v>1.6497733101784293E-4</v>
      </c>
      <c r="I1354" s="1" cm="1">
        <f t="array" ref="I1354">SUMPRODUCT(("T_B_u-BEVELC-S4"=[1]OUT_TransportEnergyCons!$A$3:$A$1000)*1,("var_fout"=[1]OUT_TransportEnergyCons!$B$3:$B$1000)*1,ISNUMBER(SEARCH("tpbsu",[1]OUT_TransportEnergyCons!$C$3:$C$1000))*1,[1]OUT_TransportEnergyCons!G$3:G$1000)</f>
        <v>3.8813593531678904E-3</v>
      </c>
      <c r="J1354" s="1" cm="1">
        <f t="array" ref="J1354">SUMPRODUCT(("T_B_u-BEVELC-S4"=[1]OUT_TransportEnergyCons!$A$3:$A$1000)*1,("var_fout"=[1]OUT_TransportEnergyCons!$B$3:$B$1000)*1,ISNUMBER(SEARCH("tpbsu",[1]OUT_TransportEnergyCons!$C$3:$C$1000))*1,[1]OUT_TransportEnergyCons!H$3:H$1000)</f>
        <v>4.6194631790885828E-5</v>
      </c>
      <c r="K1354" s="1" cm="1">
        <f t="array" ref="K1354">SUMPRODUCT(("T_B_u-BEVELC-S4"=[1]OUT_TransportEnergyCons!$A$3:$A$1000)*1,("var_fout"=[1]OUT_TransportEnergyCons!$B$3:$B$1000)*1,ISNUMBER(SEARCH("tpbsu",[1]OUT_TransportEnergyCons!$C$3:$C$1000))*1,[1]OUT_TransportEnergyCons!I$3:I$1000)</f>
        <v>3.4939775628663075E-5</v>
      </c>
    </row>
    <row r="1355" spans="2:11" x14ac:dyDescent="0.35">
      <c r="B1355" s="5" t="str">
        <f t="shared" si="800"/>
        <v>SPS2</v>
      </c>
      <c r="C1355" s="5" t="str">
        <f t="shared" si="809"/>
        <v>CH</v>
      </c>
      <c r="D1355" t="s">
        <v>1355</v>
      </c>
      <c r="E1355" t="str">
        <f t="shared" si="810"/>
        <v>billion km/yr.</v>
      </c>
      <c r="F1355" s="1" cm="1">
        <f t="array" ref="F1355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5" s="1" cm="1">
        <f t="array" ref="G1355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5" s="1" cm="1">
        <f t="array" ref="H1355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5" s="1" cm="1">
        <f t="array" ref="I1355">SUMPRODUCT(("T_B_u-FCLH2O-S1"=[1]OUT_TransportEnergyCons!$A$3:$A$1000)*1,("var_fout"=[1]OUT_TransportEnergyCons!$B$3:$B$1000)*1,ISNUMBER(SEARCH("tpbsu",[1]OUT_TransportEnergyCons!$C$3:$C$1000))*1,[1]OUT_TransportEnergyCons!G$3:G$1000)</f>
        <v>5.1341693875230563E-6</v>
      </c>
      <c r="J1355" s="1" cm="1">
        <f t="array" ref="J1355">SUMPRODUCT(("T_B_u-FCLH2O-S1"=[1]OUT_TransportEnergyCons!$A$3:$A$1000)*1,("var_fout"=[1]OUT_TransportEnergyCons!$B$3:$B$1000)*1,ISNUMBER(SEARCH("tpbsu",[1]OUT_TransportEnergyCons!$C$3:$C$1000))*1,[1]OUT_TransportEnergyCons!H$3:H$1000)</f>
        <v>5.7226597334584157E-6</v>
      </c>
      <c r="K1355" s="1" cm="1">
        <f t="array" ref="K1355">SUMPRODUCT(("T_B_u-FCLH2O-S1"=[1]OUT_TransportEnergyCons!$A$3:$A$1000)*1,("var_fout"=[1]OUT_TransportEnergyCons!$B$3:$B$1000)*1,ISNUMBER(SEARCH("tpbsu",[1]OUT_TransportEnergyCons!$C$3:$C$1000))*1,[1]OUT_TransportEnergyCons!I$3:I$1000)</f>
        <v>3.0321519620401485E-6</v>
      </c>
    </row>
    <row r="1356" spans="2:11" x14ac:dyDescent="0.35">
      <c r="B1356" s="5" t="str">
        <f t="shared" si="800"/>
        <v>SPS2</v>
      </c>
      <c r="C1356" s="5" t="str">
        <f t="shared" si="809"/>
        <v>CH</v>
      </c>
      <c r="D1356" t="s">
        <v>1356</v>
      </c>
      <c r="E1356" t="str">
        <f t="shared" si="810"/>
        <v>billion km/yr.</v>
      </c>
      <c r="F1356" s="1" cm="1">
        <f t="array" ref="F1356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6" s="1" cm="1">
        <f t="array" ref="G1356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6" s="1" cm="1">
        <f t="array" ref="H1356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6" s="1" cm="1">
        <f t="array" ref="I1356">SUMPRODUCT(("T_B_u-FCLH2O-S2"=[1]OUT_TransportEnergyCons!$A$3:$A$1000)*1,("var_fout"=[1]OUT_TransportEnergyCons!$B$3:$B$1000)*1,ISNUMBER(SEARCH("tpbsu",[1]OUT_TransportEnergyCons!$C$3:$C$1000))*1,[1]OUT_TransportEnergyCons!G$3:G$1000)</f>
        <v>1.5341031504138343E-6</v>
      </c>
      <c r="J1356" s="1" cm="1">
        <f t="array" ref="J1356">SUMPRODUCT(("T_B_u-FCLH2O-S2"=[1]OUT_TransportEnergyCons!$A$3:$A$1000)*1,("var_fout"=[1]OUT_TransportEnergyCons!$B$3:$B$1000)*1,ISNUMBER(SEARCH("tpbsu",[1]OUT_TransportEnergyCons!$C$3:$C$1000))*1,[1]OUT_TransportEnergyCons!H$3:H$1000)</f>
        <v>5.4825500331323838E-6</v>
      </c>
      <c r="K1356" s="1" cm="1">
        <f t="array" ref="K1356">SUMPRODUCT(("T_B_u-FCLH2O-S2"=[1]OUT_TransportEnergyCons!$A$3:$A$1000)*1,("var_fout"=[1]OUT_TransportEnergyCons!$B$3:$B$1000)*1,ISNUMBER(SEARCH("tpbsu",[1]OUT_TransportEnergyCons!$C$3:$C$1000))*1,[1]OUT_TransportEnergyCons!I$3:I$1000)</f>
        <v>3.7403727929632842E-6</v>
      </c>
    </row>
    <row r="1357" spans="2:11" x14ac:dyDescent="0.35">
      <c r="B1357" s="5" t="str">
        <f t="shared" si="800"/>
        <v>SPS2</v>
      </c>
      <c r="C1357" s="5" t="str">
        <f t="shared" si="809"/>
        <v>CH</v>
      </c>
      <c r="D1357" t="s">
        <v>1357</v>
      </c>
      <c r="E1357" t="str">
        <f t="shared" si="810"/>
        <v>billion km/yr.</v>
      </c>
      <c r="F1357" s="1" cm="1">
        <f t="array" ref="F1357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SUMPRODUCT(("T_B_u-FCLH2O-S3"=[1]OUT_TransportEnergyCons!$A$3:$A$1000)*1,("var_fout"=[1]OUT_TransportEnergyCons!$B$3:$B$1000)*1,ISNUMBER(SEARCH("tpbsu",[1]OUT_TransportEnergyCons!$C$3:$C$1000))*1,[1]OUT_TransportEnergyCons!G$3:G$1000)</f>
        <v>9.4735868563640452E-7</v>
      </c>
      <c r="J1357" s="1" cm="1">
        <f t="array" ref="J1357">SUMPRODUCT(("T_B_u-FCLH2O-S3"=[1]OUT_TransportEnergyCons!$A$3:$A$1000)*1,("var_fout"=[1]OUT_TransportEnergyCons!$B$3:$B$1000)*1,ISNUMBER(SEARCH("tpbsu",[1]OUT_TransportEnergyCons!$C$3:$C$1000))*1,[1]OUT_TransportEnergyCons!H$3:H$1000)</f>
        <v>7.4090398702831704E-6</v>
      </c>
      <c r="K1357" s="1" cm="1">
        <f t="array" ref="K1357">SUMPRODUCT(("T_B_u-FCLH2O-S3"=[1]OUT_TransportEnergyCons!$A$3:$A$1000)*1,("var_fout"=[1]OUT_TransportEnergyCons!$B$3:$B$1000)*1,ISNUMBER(SEARCH("tpbsu",[1]OUT_TransportEnergyCons!$C$3:$C$1000))*1,[1]OUT_TransportEnergyCons!I$3:I$1000)</f>
        <v>6.4244280066133171E-6</v>
      </c>
    </row>
    <row r="1358" spans="2:11" x14ac:dyDescent="0.35">
      <c r="B1358" s="5" t="str">
        <f t="shared" si="800"/>
        <v>SPS2</v>
      </c>
      <c r="C1358" s="5" t="str">
        <f t="shared" si="809"/>
        <v>CH</v>
      </c>
      <c r="D1358" t="s">
        <v>1358</v>
      </c>
      <c r="E1358" t="str">
        <f t="shared" si="810"/>
        <v>billion km/yr.</v>
      </c>
      <c r="F1358" s="1" cm="1">
        <f t="array" ref="F1358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SUMPRODUCT(("T_B_u-FCLH2O-S4"=[1]OUT_TransportEnergyCons!$A$3:$A$1000)*1,("var_fout"=[1]OUT_TransportEnergyCons!$B$3:$B$1000)*1,ISNUMBER(SEARCH("tpbsu",[1]OUT_TransportEnergyCons!$C$3:$C$1000))*1,[1]OUT_TransportEnergyCons!G$3:G$1000)</f>
        <v>1.691304150910822E-7</v>
      </c>
      <c r="J1358" s="1" cm="1">
        <f t="array" ref="J1358">SUMPRODUCT(("T_B_u-FCLH2O-S4"=[1]OUT_TransportEnergyCons!$A$3:$A$1000)*1,("var_fout"=[1]OUT_TransportEnergyCons!$B$3:$B$1000)*1,ISNUMBER(SEARCH("tpbsu",[1]OUT_TransportEnergyCons!$C$3:$C$1000))*1,[1]OUT_TransportEnergyCons!H$3:H$1000)</f>
        <v>6.0970379004781832E-6</v>
      </c>
      <c r="K1358" s="1" cm="1">
        <f t="array" ref="K1358">SUMPRODUCT(("T_B_u-FCLH2O-S4"=[1]OUT_TransportEnergyCons!$A$3:$A$1000)*1,("var_fout"=[1]OUT_TransportEnergyCons!$B$3:$B$1000)*1,ISNUMBER(SEARCH("tpbsu",[1]OUT_TransportEnergyCons!$C$3:$C$1000))*1,[1]OUT_TransportEnergyCons!I$3:I$1000)</f>
        <v>2.257732649490918E-6</v>
      </c>
    </row>
    <row r="1359" spans="2:11" x14ac:dyDescent="0.35">
      <c r="B1359" s="5" t="str">
        <f t="shared" si="800"/>
        <v>SPS2</v>
      </c>
      <c r="C1359" s="5" t="str">
        <f t="shared" si="809"/>
        <v>CH</v>
      </c>
      <c r="D1359" t="s">
        <v>1359</v>
      </c>
      <c r="E1359" t="str">
        <f t="shared" si="810"/>
        <v>billion km/yr.</v>
      </c>
      <c r="F1359" s="1" cm="1">
        <f t="array" ref="F1359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SUMPRODUCT(("T_B_u-HYBDSL-S1"=[1]OUT_TransportEnergyCons!$A$3:$A$1000)*1,("var_fout"=[1]OUT_TransportEnergyCons!$B$3:$B$1000)*1,ISNUMBER(SEARCH("tpbsu",[1]OUT_TransportEnergyCons!$C$3:$C$1000))*1,[1]OUT_TransportEnergyCons!E$3:E$1000)</f>
        <v>3.9336291653872214E-3</v>
      </c>
      <c r="H1359" s="1" cm="1">
        <f t="array" ref="H1359">SUMPRODUCT(("T_B_u-HYBDSL-S1"=[1]OUT_TransportEnergyCons!$A$3:$A$1000)*1,("var_fout"=[1]OUT_TransportEnergyCons!$B$3:$B$1000)*1,ISNUMBER(SEARCH("tpbsu",[1]OUT_TransportEnergyCons!$C$3:$C$1000))*1,[1]OUT_TransportEnergyCons!F$3:F$1000)</f>
        <v>4.1509327316300677E-3</v>
      </c>
      <c r="I1359" s="1" cm="1">
        <f t="array" ref="I1359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SUMPRODUCT(("T_B_u-HYBDSL-S1"=[1]OUT_TransportEnergyCons!$A$3:$A$1000)*1,("var_fout"=[1]OUT_TransportEnergyCons!$B$3:$B$1000)*1,ISNUMBER(SEARCH("tpbsu",[1]OUT_TransportEnergyCons!$C$3:$C$1000))*1,[1]OUT_TransportEnergyCons!H$3:H$1000)</f>
        <v>8.593589591496888E-7</v>
      </c>
      <c r="K1359" s="1" cm="1">
        <f t="array" ref="K1359">SUMPRODUCT(("T_B_u-HYBDSL-S1"=[1]OUT_TransportEnergyCons!$A$3:$A$1000)*1,("var_fout"=[1]OUT_TransportEnergyCons!$B$3:$B$1000)*1,ISNUMBER(SEARCH("tpbsu",[1]OUT_TransportEnergyCons!$C$3:$C$1000))*1,[1]OUT_TransportEnergyCons!I$3:I$1000)</f>
        <v>1.441512690819871E-7</v>
      </c>
    </row>
    <row r="1360" spans="2:11" x14ac:dyDescent="0.35">
      <c r="B1360" s="5" t="str">
        <f t="shared" si="800"/>
        <v>SPS2</v>
      </c>
      <c r="C1360" s="5" t="str">
        <f t="shared" si="809"/>
        <v>CH</v>
      </c>
      <c r="D1360" t="s">
        <v>1360</v>
      </c>
      <c r="E1360" t="str">
        <f t="shared" si="810"/>
        <v>billion km/yr.</v>
      </c>
      <c r="F1360" s="1" cm="1">
        <f t="array" ref="F1360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SUMPRODUCT(("T_B_u-HYBDSL-S2"=[1]OUT_TransportEnergyCons!$A$3:$A$1000)*1,("var_fout"=[1]OUT_TransportEnergyCons!$B$3:$B$1000)*1,ISNUMBER(SEARCH("tpbsu",[1]OUT_TransportEnergyCons!$C$3:$C$1000))*1,[1]OUT_TransportEnergyCons!E$3:E$1000)</f>
        <v>1.0584946278341858E-4</v>
      </c>
      <c r="H1360" s="1" cm="1">
        <f t="array" ref="H1360">SUMPRODUCT(("T_B_u-HYBDSL-S2"=[1]OUT_TransportEnergyCons!$A$3:$A$1000)*1,("var_fout"=[1]OUT_TransportEnergyCons!$B$3:$B$1000)*1,ISNUMBER(SEARCH("tpbsu",[1]OUT_TransportEnergyCons!$C$3:$C$1000))*1,[1]OUT_TransportEnergyCons!F$3:F$1000)</f>
        <v>1.9141262790904544E-4</v>
      </c>
      <c r="I1360" s="1" cm="1">
        <f t="array" ref="I1360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SUMPRODUCT(("T_B_u-HYBDSL-S2"=[1]OUT_TransportEnergyCons!$A$3:$A$1000)*1,("var_fout"=[1]OUT_TransportEnergyCons!$B$3:$B$1000)*1,ISNUMBER(SEARCH("tpbsu",[1]OUT_TransportEnergyCons!$C$3:$C$1000))*1,[1]OUT_TransportEnergyCons!I$3:I$1000)</f>
        <v>3.6208158248241437E-7</v>
      </c>
    </row>
    <row r="1361" spans="2:11" x14ac:dyDescent="0.35">
      <c r="B1361" s="5" t="str">
        <f t="shared" si="800"/>
        <v>SPS2</v>
      </c>
      <c r="C1361" s="5" t="str">
        <f t="shared" si="809"/>
        <v>CH</v>
      </c>
      <c r="D1361" t="s">
        <v>1361</v>
      </c>
      <c r="E1361" t="str">
        <f t="shared" si="810"/>
        <v>billion km/yr.</v>
      </c>
      <c r="F1361" s="1" cm="1">
        <f t="array" ref="F1361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SUMPRODUCT(("T_B_u-HYBDSL-S3"=[1]OUT_TransportEnergyCons!$A$3:$A$1000)*1,("var_fout"=[1]OUT_TransportEnergyCons!$B$3:$B$1000)*1,ISNUMBER(SEARCH("tpbsu",[1]OUT_TransportEnergyCons!$C$3:$C$1000))*1,[1]OUT_TransportEnergyCons!E$3:E$1000)</f>
        <v>1.1632697716500603E-4</v>
      </c>
      <c r="H1361" s="1" cm="1">
        <f t="array" ref="H1361">SUMPRODUCT(("T_B_u-HYBDSL-S3"=[1]OUT_TransportEnergyCons!$A$3:$A$1000)*1,("var_fout"=[1]OUT_TransportEnergyCons!$B$3:$B$1000)*1,ISNUMBER(SEARCH("tpbsu",[1]OUT_TransportEnergyCons!$C$3:$C$1000))*1,[1]OUT_TransportEnergyCons!F$3:F$1000)</f>
        <v>1.7929407494547415E-4</v>
      </c>
      <c r="I1361" s="1" cm="1">
        <f t="array" ref="I1361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SUMPRODUCT(("T_B_u-HYBDSL-S3"=[1]OUT_TransportEnergyCons!$A$3:$A$1000)*1,("var_fout"=[1]OUT_TransportEnergyCons!$B$3:$B$1000)*1,ISNUMBER(SEARCH("tpbsu",[1]OUT_TransportEnergyCons!$C$3:$C$1000))*1,[1]OUT_TransportEnergyCons!H$3:H$1000)</f>
        <v>1.4773793778325068E-6</v>
      </c>
      <c r="K1361" s="1" cm="1">
        <f t="array" ref="K1361">SUMPRODUCT(("T_B_u-HYBDSL-S3"=[1]OUT_TransportEnergyCons!$A$3:$A$1000)*1,("var_fout"=[1]OUT_TransportEnergyCons!$B$3:$B$1000)*1,ISNUMBER(SEARCH("tpbsu",[1]OUT_TransportEnergyCons!$C$3:$C$1000))*1,[1]OUT_TransportEnergyCons!I$3:I$1000)</f>
        <v>2.6387625209684175E-6</v>
      </c>
    </row>
    <row r="1362" spans="2:11" x14ac:dyDescent="0.35">
      <c r="B1362" s="5" t="str">
        <f t="shared" si="800"/>
        <v>SPS2</v>
      </c>
      <c r="C1362" s="5" t="str">
        <f t="shared" si="809"/>
        <v>CH</v>
      </c>
      <c r="D1362" t="s">
        <v>1362</v>
      </c>
      <c r="E1362" t="str">
        <f t="shared" si="810"/>
        <v>billion km/yr.</v>
      </c>
      <c r="F1362" s="1" cm="1">
        <f t="array" ref="F1362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SUMPRODUCT(("T_B_u-HYBDSL-S4"=[1]OUT_TransportEnergyCons!$A$3:$A$1000)*1,("var_fout"=[1]OUT_TransportEnergyCons!$B$3:$B$1000)*1,ISNUMBER(SEARCH("tpbsu",[1]OUT_TransportEnergyCons!$C$3:$C$1000))*1,[1]OUT_TransportEnergyCons!E$3:E$1000)</f>
        <v>4.432822681255187E-6</v>
      </c>
      <c r="H1362" s="1" cm="1">
        <f t="array" ref="H1362">SUMPRODUCT(("T_B_u-HYBDSL-S4"=[1]OUT_TransportEnergyCons!$A$3:$A$1000)*1,("var_fout"=[1]OUT_TransportEnergyCons!$B$3:$B$1000)*1,ISNUMBER(SEARCH("tpbsu",[1]OUT_TransportEnergyCons!$C$3:$C$1000))*1,[1]OUT_TransportEnergyCons!F$3:F$1000)</f>
        <v>9.0276371337143652E-6</v>
      </c>
      <c r="I1362" s="1" cm="1">
        <f t="array" ref="I1362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SUMPRODUCT(("T_B_u-HYBDSL-S4"=[1]OUT_TransportEnergyCons!$A$3:$A$1000)*1,("var_fout"=[1]OUT_TransportEnergyCons!$B$3:$B$1000)*1,ISNUMBER(SEARCH("tpbsu",[1]OUT_TransportEnergyCons!$C$3:$C$1000))*1,[1]OUT_TransportEnergyCons!I$3:I$1000)</f>
        <v>1.6374155841155918E-6</v>
      </c>
    </row>
    <row r="1363" spans="2:11" x14ac:dyDescent="0.35">
      <c r="B1363" s="5" t="str">
        <f t="shared" si="800"/>
        <v>SPS2</v>
      </c>
      <c r="C1363" s="5" t="str">
        <f t="shared" si="809"/>
        <v>CH</v>
      </c>
      <c r="D1363" t="s">
        <v>2002</v>
      </c>
      <c r="E1363" t="str">
        <f t="shared" si="810"/>
        <v>billion km/yr.</v>
      </c>
      <c r="F1363" s="1" cm="1">
        <f t="array" ref="F1363">SUMPRODUCT(("T_B_u-ICEDSLEXT"=[1]OUT_TransportEnergyCons!$A$3:$A$1000)*1,("var_fout"=[1]OUT_TransportEnergyCons!$B$3:$B$1000)*1,ISNUMBER(SEARCH("tpbsu",[1]OUT_TransportEnergyCons!$C$3:$C$1000))*1,[1]OUT_TransportEnergyCons!D$3:D$1000)</f>
        <v>0.24211734011451183</v>
      </c>
      <c r="G1363" s="1" cm="1">
        <f t="array" ref="G1363">SUMPRODUCT(("T_B_u-ICEDSLEXT"=[1]OUT_TransportEnergyCons!$A$3:$A$1000)*1,("var_fout"=[1]OUT_TransportEnergyCons!$B$3:$B$1000)*1,ISNUMBER(SEARCH("tpbsu",[1]OUT_TransportEnergyCons!$C$3:$C$1000))*1,[1]OUT_TransportEnergyCons!E$3:E$1000)</f>
        <v>0.19377591599900726</v>
      </c>
      <c r="H1363" s="1" cm="1">
        <f t="array" ref="H1363">SUMPRODUCT(("T_B_u-ICEDSLEXT"=[1]OUT_TransportEnergyCons!$A$3:$A$1000)*1,("var_fout"=[1]OUT_TransportEnergyCons!$B$3:$B$1000)*1,ISNUMBER(SEARCH("tpbsu",[1]OUT_TransportEnergyCons!$C$3:$C$1000))*1,[1]OUT_TransportEnergyCons!F$3:F$1000)</f>
        <v>0.12109616577471889</v>
      </c>
      <c r="I1363" s="1" cm="1">
        <f t="array" ref="I1363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SUMPRODUCT(("T_B_u-ICEDSLEXT"=[1]OUT_TransportEnergyCons!$A$3:$A$1000)*1,("var_fout"=[1]OUT_TransportEnergyCons!$B$3:$B$1000)*1,ISNUMBER(SEARCH("tpbsu",[1]OUT_TransportEnergyCons!$C$3:$C$1000))*1,[1]OUT_TransportEnergyCons!I$3:I$1000)</f>
        <v>0</v>
      </c>
    </row>
    <row r="1364" spans="2:11" x14ac:dyDescent="0.35">
      <c r="B1364" s="5" t="str">
        <f t="shared" si="800"/>
        <v>SPS2</v>
      </c>
      <c r="C1364" s="5" t="str">
        <f t="shared" si="809"/>
        <v>CH</v>
      </c>
      <c r="D1364" t="s">
        <v>1363</v>
      </c>
      <c r="E1364" t="str">
        <f t="shared" si="810"/>
        <v>billion km/yr.</v>
      </c>
      <c r="F1364" s="1" cm="1">
        <f t="array" ref="F1364">SUMPRODUCT(("T_B_u-ICEDSL-S1"=[1]OUT_TransportEnergyCons!$A$3:$A$1000)*1,("var_fout"=[1]OUT_TransportEnergyCons!$B$3:$B$1000)*1,ISNUMBER(SEARCH("tpbsu",[1]OUT_TransportEnergyCons!$C$3:$C$1000))*1,[1]OUT_TransportEnergyCons!D$3:D$1000)</f>
        <v>4.1088894709574586E-5</v>
      </c>
      <c r="G1364" s="1" cm="1">
        <f t="array" ref="G1364">SUMPRODUCT(("T_B_u-ICEDSL-S1"=[1]OUT_TransportEnergyCons!$A$3:$A$1000)*1,("var_fout"=[1]OUT_TransportEnergyCons!$B$3:$B$1000)*1,ISNUMBER(SEARCH("tpbsu",[1]OUT_TransportEnergyCons!$C$3:$C$1000))*1,[1]OUT_TransportEnergyCons!E$3:E$1000)</f>
        <v>2.716578596185355E-2</v>
      </c>
      <c r="H1364" s="1" cm="1">
        <f t="array" ref="H1364">SUMPRODUCT(("T_B_u-ICEDSL-S1"=[1]OUT_TransportEnergyCons!$A$3:$A$1000)*1,("var_fout"=[1]OUT_TransportEnergyCons!$B$3:$B$1000)*1,ISNUMBER(SEARCH("tpbsu",[1]OUT_TransportEnergyCons!$C$3:$C$1000))*1,[1]OUT_TransportEnergyCons!F$3:F$1000)</f>
        <v>5.3209707591459363E-2</v>
      </c>
      <c r="I1364" s="1" cm="1">
        <f t="array" ref="I1364">SUMPRODUCT(("T_B_u-ICEDSL-S1"=[1]OUT_TransportEnergyCons!$A$3:$A$1000)*1,("var_fout"=[1]OUT_TransportEnergyCons!$B$3:$B$1000)*1,ISNUMBER(SEARCH("tpbsu",[1]OUT_TransportEnergyCons!$C$3:$C$1000))*1,[1]OUT_TransportEnergyCons!G$3:G$1000)</f>
        <v>5.5179875377552437E-6</v>
      </c>
      <c r="J1364" s="1" cm="1">
        <f t="array" ref="J1364">SUMPRODUCT(("T_B_u-ICEDSL-S1"=[1]OUT_TransportEnergyCons!$A$3:$A$1000)*1,("var_fout"=[1]OUT_TransportEnergyCons!$B$3:$B$1000)*1,ISNUMBER(SEARCH("tpbsu",[1]OUT_TransportEnergyCons!$C$3:$C$1000))*1,[1]OUT_TransportEnergyCons!H$3:H$1000)</f>
        <v>6.6045540674307425E-7</v>
      </c>
      <c r="K1364" s="1" cm="1">
        <f t="array" ref="K1364">SUMPRODUCT(("T_B_u-ICEDSL-S1"=[1]OUT_TransportEnergyCons!$A$3:$A$1000)*1,("var_fout"=[1]OUT_TransportEnergyCons!$B$3:$B$1000)*1,ISNUMBER(SEARCH("tpbsu",[1]OUT_TransportEnergyCons!$C$3:$C$1000))*1,[1]OUT_TransportEnergyCons!I$3:I$1000)</f>
        <v>8.7702960600990207E-8</v>
      </c>
    </row>
    <row r="1365" spans="2:11" x14ac:dyDescent="0.35">
      <c r="B1365" s="5" t="str">
        <f t="shared" si="800"/>
        <v>SPS2</v>
      </c>
      <c r="C1365" s="5" t="str">
        <f t="shared" si="809"/>
        <v>CH</v>
      </c>
      <c r="D1365" t="s">
        <v>1364</v>
      </c>
      <c r="E1365" t="str">
        <f t="shared" si="810"/>
        <v>billion km/yr.</v>
      </c>
      <c r="F1365" s="1" cm="1">
        <f t="array" ref="F1365">SUMPRODUCT(("T_B_u-ICEDSL-S2"=[1]OUT_TransportEnergyCons!$A$3:$A$1000)*1,("var_fout"=[1]OUT_TransportEnergyCons!$B$3:$B$1000)*1,ISNUMBER(SEARCH("tpbsu",[1]OUT_TransportEnergyCons!$C$3:$C$1000))*1,[1]OUT_TransportEnergyCons!D$3:D$1000)</f>
        <v>9.2452860702052515E-3</v>
      </c>
      <c r="G1365" s="1" cm="1">
        <f t="array" ref="G1365">SUMPRODUCT(("T_B_u-ICEDSL-S2"=[1]OUT_TransportEnergyCons!$A$3:$A$1000)*1,("var_fout"=[1]OUT_TransportEnergyCons!$B$3:$B$1000)*1,ISNUMBER(SEARCH("tpbsu",[1]OUT_TransportEnergyCons!$C$3:$C$1000))*1,[1]OUT_TransportEnergyCons!E$3:E$1000)</f>
        <v>1.1451172817843852E-2</v>
      </c>
      <c r="H1365" s="1" cm="1">
        <f t="array" ref="H1365">SUMPRODUCT(("T_B_u-ICEDSL-S2"=[1]OUT_TransportEnergyCons!$A$3:$A$1000)*1,("var_fout"=[1]OUT_TransportEnergyCons!$B$3:$B$1000)*1,ISNUMBER(SEARCH("tpbsu",[1]OUT_TransportEnergyCons!$C$3:$C$1000))*1,[1]OUT_TransportEnergyCons!F$3:F$1000)</f>
        <v>1.9354587637707078E-2</v>
      </c>
      <c r="I1365" s="1" cm="1">
        <f t="array" ref="I1365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SUMPRODUCT(("T_B_u-ICEDSL-S2"=[1]OUT_TransportEnergyCons!$A$3:$A$1000)*1,("var_fout"=[1]OUT_TransportEnergyCons!$B$3:$B$1000)*1,ISNUMBER(SEARCH("tpbsu",[1]OUT_TransportEnergyCons!$C$3:$C$1000))*1,[1]OUT_TransportEnergyCons!I$3:I$1000)</f>
        <v>1.3987770172676333E-7</v>
      </c>
    </row>
    <row r="1366" spans="2:11" x14ac:dyDescent="0.35">
      <c r="B1366" s="5" t="str">
        <f t="shared" si="800"/>
        <v>SPS2</v>
      </c>
      <c r="C1366" s="5" t="str">
        <f t="shared" si="809"/>
        <v>CH</v>
      </c>
      <c r="D1366" t="s">
        <v>1365</v>
      </c>
      <c r="E1366" t="str">
        <f t="shared" si="810"/>
        <v>billion km/yr.</v>
      </c>
      <c r="F1366" s="1" cm="1">
        <f t="array" ref="F1366">SUMPRODUCT(("T_B_u-ICEDSL-S3"=[1]OUT_TransportEnergyCons!$A$3:$A$1000)*1,("var_fout"=[1]OUT_TransportEnergyCons!$B$3:$B$1000)*1,ISNUMBER(SEARCH("tpbsu",[1]OUT_TransportEnergyCons!$C$3:$C$1000))*1,[1]OUT_TransportEnergyCons!D$3:D$1000)</f>
        <v>3.5587331644064225E-2</v>
      </c>
      <c r="G1366" s="1" cm="1">
        <f t="array" ref="G1366">SUMPRODUCT(("T_B_u-ICEDSL-S3"=[1]OUT_TransportEnergyCons!$A$3:$A$1000)*1,("var_fout"=[1]OUT_TransportEnergyCons!$B$3:$B$1000)*1,ISNUMBER(SEARCH("tpbsu",[1]OUT_TransportEnergyCons!$C$3:$C$1000))*1,[1]OUT_TransportEnergyCons!E$3:E$1000)</f>
        <v>5.1967218003768488E-2</v>
      </c>
      <c r="H1366" s="1" cm="1">
        <f t="array" ref="H1366">SUMPRODUCT(("T_B_u-ICEDSL-S3"=[1]OUT_TransportEnergyCons!$A$3:$A$1000)*1,("var_fout"=[1]OUT_TransportEnergyCons!$B$3:$B$1000)*1,ISNUMBER(SEARCH("tpbsu",[1]OUT_TransportEnergyCons!$C$3:$C$1000))*1,[1]OUT_TransportEnergyCons!F$3:F$1000)</f>
        <v>9.4354724910987828E-2</v>
      </c>
      <c r="I1366" s="1" cm="1">
        <f t="array" ref="I1366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6" s="1" cm="1">
        <f t="array" ref="J1366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SUMPRODUCT(("T_B_u-ICEDSL-S3"=[1]OUT_TransportEnergyCons!$A$3:$A$1000)*1,("var_fout"=[1]OUT_TransportEnergyCons!$B$3:$B$1000)*1,ISNUMBER(SEARCH("tpbsu",[1]OUT_TransportEnergyCons!$C$3:$C$1000))*1,[1]OUT_TransportEnergyCons!I$3:I$1000)</f>
        <v>1.5856795421665252E-6</v>
      </c>
    </row>
    <row r="1367" spans="2:11" x14ac:dyDescent="0.35">
      <c r="B1367" s="5" t="str">
        <f t="shared" si="800"/>
        <v>SPS2</v>
      </c>
      <c r="C1367" s="5" t="str">
        <f t="shared" si="809"/>
        <v>CH</v>
      </c>
      <c r="D1367" t="s">
        <v>1366</v>
      </c>
      <c r="E1367" t="str">
        <f t="shared" si="810"/>
        <v>billion km/yr.</v>
      </c>
      <c r="F1367" s="1" cm="1">
        <f t="array" ref="F1367">SUMPRODUCT(("T_B_u-ICEDSL-S4"=[1]OUT_TransportEnergyCons!$A$3:$A$1000)*1,("var_fout"=[1]OUT_TransportEnergyCons!$B$3:$B$1000)*1,ISNUMBER(SEARCH("tpbsu",[1]OUT_TransportEnergyCons!$C$3:$C$1000))*1,[1]OUT_TransportEnergyCons!D$3:D$1000)</f>
        <v>2.7707381648148059E-4</v>
      </c>
      <c r="G1367" s="1" cm="1">
        <f t="array" ref="G1367">SUMPRODUCT(("T_B_u-ICEDSL-S4"=[1]OUT_TransportEnergyCons!$A$3:$A$1000)*1,("var_fout"=[1]OUT_TransportEnergyCons!$B$3:$B$1000)*1,ISNUMBER(SEARCH("tpbsu",[1]OUT_TransportEnergyCons!$C$3:$C$1000))*1,[1]OUT_TransportEnergyCons!E$3:E$1000)</f>
        <v>4.1247017470688497E-5</v>
      </c>
      <c r="H1367" s="1" cm="1">
        <f t="array" ref="H1367">SUMPRODUCT(("T_B_u-ICEDSL-S4"=[1]OUT_TransportEnergyCons!$A$3:$A$1000)*1,("var_fout"=[1]OUT_TransportEnergyCons!$B$3:$B$1000)*1,ISNUMBER(SEARCH("tpbsu",[1]OUT_TransportEnergyCons!$C$3:$C$1000))*1,[1]OUT_TransportEnergyCons!F$3:F$1000)</f>
        <v>5.6210642217074726E-5</v>
      </c>
      <c r="I1367" s="1" cm="1">
        <f t="array" ref="I1367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SUMPRODUCT(("T_B_u-ICEDSL-S4"=[1]OUT_TransportEnergyCons!$A$3:$A$1000)*1,("var_fout"=[1]OUT_TransportEnergyCons!$B$3:$B$1000)*1,ISNUMBER(SEARCH("tpbsu",[1]OUT_TransportEnergyCons!$C$3:$C$1000))*1,[1]OUT_TransportEnergyCons!I$3:I$1000)</f>
        <v>7.0955770701233E-7</v>
      </c>
    </row>
    <row r="1368" spans="2:11" x14ac:dyDescent="0.35">
      <c r="B1368" s="5" t="str">
        <f t="shared" si="800"/>
        <v>SPS2</v>
      </c>
      <c r="C1368" s="5" t="str">
        <f t="shared" si="809"/>
        <v>CH</v>
      </c>
      <c r="D1368" t="s">
        <v>2006</v>
      </c>
      <c r="E1368" t="str">
        <f t="shared" si="810"/>
        <v>billion km/yr.</v>
      </c>
      <c r="F1368" s="1" cm="1">
        <f t="array" ref="F1368">SUMPRODUCT(("T_B_u-ICEngaEXT"=[1]OUT_TransportEnergyCons!$A$3:$A$1000)*1,("var_fout"=[1]OUT_TransportEnergyCons!$B$3:$B$1000)*1,ISNUMBER(SEARCH("tpbsu",[1]OUT_TransportEnergyCons!$C$3:$C$1000))*1,[1]OUT_TransportEnergyCons!D$3:D$1000)</f>
        <v>4.3704890580067955E-3</v>
      </c>
      <c r="G1368" s="1" cm="1">
        <f t="array" ref="G1368">SUMPRODUCT(("T_B_u-ICEngaEXT"=[1]OUT_TransportEnergyCons!$A$3:$A$1000)*1,("var_fout"=[1]OUT_TransportEnergyCons!$B$3:$B$1000)*1,ISNUMBER(SEARCH("tpbsu",[1]OUT_TransportEnergyCons!$C$3:$C$1000))*1,[1]OUT_TransportEnergyCons!E$3:E$1000)</f>
        <v>3.5534983831737904E-3</v>
      </c>
      <c r="H1368" s="1" cm="1">
        <f t="array" ref="H1368">SUMPRODUCT(("T_B_u-ICEngaEXT"=[1]OUT_TransportEnergyCons!$A$3:$A$1000)*1,("var_fout"=[1]OUT_TransportEnergyCons!$B$3:$B$1000)*1,ISNUMBER(SEARCH("tpbsu",[1]OUT_TransportEnergyCons!$C$3:$C$1000))*1,[1]OUT_TransportEnergyCons!F$3:F$1000)</f>
        <v>2.2221843598414612E-3</v>
      </c>
      <c r="I1368" s="1" cm="1">
        <f t="array" ref="I1368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SUMPRODUCT(("T_B_u-ICEngaEXT"=[1]OUT_TransportEnergyCons!$A$3:$A$1000)*1,("var_fout"=[1]OUT_TransportEnergyCons!$B$3:$B$1000)*1,ISNUMBER(SEARCH("tpbsu",[1]OUT_TransportEnergyCons!$C$3:$C$1000))*1,[1]OUT_TransportEnergyCons!I$3:I$1000)</f>
        <v>0</v>
      </c>
    </row>
    <row r="1369" spans="2:11" x14ac:dyDescent="0.35">
      <c r="B1369" s="5" t="str">
        <f t="shared" si="800"/>
        <v>SPS2</v>
      </c>
      <c r="C1369" s="5" t="str">
        <f t="shared" si="809"/>
        <v>CH</v>
      </c>
      <c r="D1369" t="s">
        <v>1367</v>
      </c>
      <c r="E1369" t="str">
        <f t="shared" si="810"/>
        <v>billion km/yr.</v>
      </c>
      <c r="F1369" s="1" cm="1">
        <f t="array" ref="F1369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69" s="1" cm="1">
        <f t="array" ref="G1369">SUMPRODUCT(("T_B_u-ICEnga-S1"=[1]OUT_TransportEnergyCons!$A$3:$A$1000)*1,("var_fout"=[1]OUT_TransportEnergyCons!$B$3:$B$1000)*1,ISNUMBER(SEARCH("tpbsu",[1]OUT_TransportEnergyCons!$C$3:$C$1000))*1,[1]OUT_TransportEnergyCons!E$3:E$1000)</f>
        <v>3.3310655749819535E-4</v>
      </c>
      <c r="H1369" s="1" cm="1">
        <f t="array" ref="H1369">SUMPRODUCT(("T_B_u-ICEnga-S1"=[1]OUT_TransportEnergyCons!$A$3:$A$1000)*1,("var_fout"=[1]OUT_TransportEnergyCons!$B$3:$B$1000)*1,ISNUMBER(SEARCH("tpbsu",[1]OUT_TransportEnergyCons!$C$3:$C$1000))*1,[1]OUT_TransportEnergyCons!F$3:F$1000)</f>
        <v>5.8757597141275808E-4</v>
      </c>
      <c r="I1369" s="1" cm="1">
        <f t="array" ref="I1369">SUMPRODUCT(("T_B_u-ICEnga-S1"=[1]OUT_TransportEnergyCons!$A$3:$A$1000)*1,("var_fout"=[1]OUT_TransportEnergyCons!$B$3:$B$1000)*1,ISNUMBER(SEARCH("tpbsu",[1]OUT_TransportEnergyCons!$C$3:$C$1000))*1,[1]OUT_TransportEnergyCons!G$3:G$1000)</f>
        <v>8.3153139609458331E-6</v>
      </c>
      <c r="J1369" s="1" cm="1">
        <f t="array" ref="J1369">SUMPRODUCT(("T_B_u-ICEnga-S1"=[1]OUT_TransportEnergyCons!$A$3:$A$1000)*1,("var_fout"=[1]OUT_TransportEnergyCons!$B$3:$B$1000)*1,ISNUMBER(SEARCH("tpbsu",[1]OUT_TransportEnergyCons!$C$3:$C$1000))*1,[1]OUT_TransportEnergyCons!H$3:H$1000)</f>
        <v>4.100714712914026E-6</v>
      </c>
      <c r="K1369" s="1" cm="1">
        <f t="array" ref="K1369">SUMPRODUCT(("T_B_u-ICEnga-S1"=[1]OUT_TransportEnergyCons!$A$3:$A$1000)*1,("var_fout"=[1]OUT_TransportEnergyCons!$B$3:$B$1000)*1,ISNUMBER(SEARCH("tpbsu",[1]OUT_TransportEnergyCons!$C$3:$C$1000))*1,[1]OUT_TransportEnergyCons!I$3:I$1000)</f>
        <v>1.6546233915603754E-6</v>
      </c>
    </row>
    <row r="1370" spans="2:11" x14ac:dyDescent="0.35">
      <c r="B1370" s="5" t="str">
        <f t="shared" si="800"/>
        <v>SPS2</v>
      </c>
      <c r="C1370" s="5" t="str">
        <f t="shared" si="809"/>
        <v>CH</v>
      </c>
      <c r="D1370" t="s">
        <v>1368</v>
      </c>
      <c r="E1370" t="str">
        <f t="shared" si="810"/>
        <v>billion km/yr.</v>
      </c>
      <c r="F1370" s="1" cm="1">
        <f t="array" ref="F1370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0" s="1" cm="1">
        <f t="array" ref="G1370">SUMPRODUCT(("T_B_u-ICEnga-S2"=[1]OUT_TransportEnergyCons!$A$3:$A$1000)*1,("var_fout"=[1]OUT_TransportEnergyCons!$B$3:$B$1000)*1,ISNUMBER(SEARCH("tpbsu",[1]OUT_TransportEnergyCons!$C$3:$C$1000))*1,[1]OUT_TransportEnergyCons!E$3:E$1000)</f>
        <v>9.7983868866404931E-5</v>
      </c>
      <c r="H1370" s="1" cm="1">
        <f t="array" ref="H1370">SUMPRODUCT(("T_B_u-ICEnga-S2"=[1]OUT_TransportEnergyCons!$A$3:$A$1000)*1,("var_fout"=[1]OUT_TransportEnergyCons!$B$3:$B$1000)*1,ISNUMBER(SEARCH("tpbsu",[1]OUT_TransportEnergyCons!$C$3:$C$1000))*1,[1]OUT_TransportEnergyCons!F$3:F$1000)</f>
        <v>4.2618596176227267E-4</v>
      </c>
      <c r="I1370" s="1" cm="1">
        <f t="array" ref="I1370">SUMPRODUCT(("T_B_u-ICEnga-S2"=[1]OUT_TransportEnergyCons!$A$3:$A$1000)*1,("var_fout"=[1]OUT_TransportEnergyCons!$B$3:$B$1000)*1,ISNUMBER(SEARCH("tpbsu",[1]OUT_TransportEnergyCons!$C$3:$C$1000))*1,[1]OUT_TransportEnergyCons!G$3:G$1000)</f>
        <v>4.6087739609042418E-6</v>
      </c>
      <c r="J1370" s="1" cm="1">
        <f t="array" ref="J1370">SUMPRODUCT(("T_B_u-ICEnga-S2"=[1]OUT_TransportEnergyCons!$A$3:$A$1000)*1,("var_fout"=[1]OUT_TransportEnergyCons!$B$3:$B$1000)*1,ISNUMBER(SEARCH("tpbsu",[1]OUT_TransportEnergyCons!$C$3:$C$1000))*1,[1]OUT_TransportEnergyCons!H$3:H$1000)</f>
        <v>2.6510795090595041E-6</v>
      </c>
      <c r="K1370" s="1" cm="1">
        <f t="array" ref="K1370">SUMPRODUCT(("T_B_u-ICEnga-S2"=[1]OUT_TransportEnergyCons!$A$3:$A$1000)*1,("var_fout"=[1]OUT_TransportEnergyCons!$B$3:$B$1000)*1,ISNUMBER(SEARCH("tpbsu",[1]OUT_TransportEnergyCons!$C$3:$C$1000))*1,[1]OUT_TransportEnergyCons!I$3:I$1000)</f>
        <v>8.6668497571634765E-7</v>
      </c>
    </row>
    <row r="1371" spans="2:11" x14ac:dyDescent="0.35">
      <c r="B1371" s="5" t="str">
        <f t="shared" si="800"/>
        <v>SPS2</v>
      </c>
      <c r="C1371" s="5" t="str">
        <f t="shared" si="809"/>
        <v>CH</v>
      </c>
      <c r="D1371" t="s">
        <v>1369</v>
      </c>
      <c r="E1371" t="str">
        <f t="shared" si="810"/>
        <v>billion km/yr.</v>
      </c>
      <c r="F1371" s="1" cm="1">
        <f t="array" ref="F1371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SUMPRODUCT(("T_B_u-ICEnga-S3"=[1]OUT_TransportEnergyCons!$A$3:$A$1000)*1,("var_fout"=[1]OUT_TransportEnergyCons!$B$3:$B$1000)*1,ISNUMBER(SEARCH("tpbsu",[1]OUT_TransportEnergyCons!$C$3:$C$1000))*1,[1]OUT_TransportEnergyCons!E$3:E$1000)</f>
        <v>9.7876400537395998E-5</v>
      </c>
      <c r="H1371" s="1" cm="1">
        <f t="array" ref="H1371">SUMPRODUCT(("T_B_u-ICEnga-S3"=[1]OUT_TransportEnergyCons!$A$3:$A$1000)*1,("var_fout"=[1]OUT_TransportEnergyCons!$B$3:$B$1000)*1,ISNUMBER(SEARCH("tpbsu",[1]OUT_TransportEnergyCons!$C$3:$C$1000))*1,[1]OUT_TransportEnergyCons!F$3:F$1000)</f>
        <v>1.1046417757725731E-3</v>
      </c>
      <c r="I1371" s="1" cm="1">
        <f t="array" ref="I1371">SUMPRODUCT(("T_B_u-ICEnga-S3"=[1]OUT_TransportEnergyCons!$A$3:$A$1000)*1,("var_fout"=[1]OUT_TransportEnergyCons!$B$3:$B$1000)*1,ISNUMBER(SEARCH("tpbsu",[1]OUT_TransportEnergyCons!$C$3:$C$1000))*1,[1]OUT_TransportEnergyCons!G$3:G$1000)</f>
        <v>7.810697466126359E-6</v>
      </c>
      <c r="J1371" s="1" cm="1">
        <f t="array" ref="J1371">SUMPRODUCT(("T_B_u-ICEnga-S3"=[1]OUT_TransportEnergyCons!$A$3:$A$1000)*1,("var_fout"=[1]OUT_TransportEnergyCons!$B$3:$B$1000)*1,ISNUMBER(SEARCH("tpbsu",[1]OUT_TransportEnergyCons!$C$3:$C$1000))*1,[1]OUT_TransportEnergyCons!H$3:H$1000)</f>
        <v>2.8790204560696062E-6</v>
      </c>
      <c r="K1371" s="1" cm="1">
        <f t="array" ref="K1371">SUMPRODUCT(("T_B_u-ICEnga-S3"=[1]OUT_TransportEnergyCons!$A$3:$A$1000)*1,("var_fout"=[1]OUT_TransportEnergyCons!$B$3:$B$1000)*1,ISNUMBER(SEARCH("tpbsu",[1]OUT_TransportEnergyCons!$C$3:$C$1000))*1,[1]OUT_TransportEnergyCons!I$3:I$1000)</f>
        <v>3.4669240543521688E-6</v>
      </c>
    </row>
    <row r="1372" spans="2:11" x14ac:dyDescent="0.35">
      <c r="B1372" s="5" t="str">
        <f t="shared" si="800"/>
        <v>SPS2</v>
      </c>
      <c r="C1372" s="5" t="str">
        <f t="shared" si="809"/>
        <v>CH</v>
      </c>
      <c r="D1372" t="s">
        <v>1370</v>
      </c>
      <c r="E1372" t="str">
        <f t="shared" si="810"/>
        <v>billion km/yr.</v>
      </c>
      <c r="F1372" s="1" cm="1">
        <f t="array" ref="F1372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SUMPRODUCT(("T_B_u-ICEnga-S4"=[1]OUT_TransportEnergyCons!$A$3:$A$1000)*1,("var_fout"=[1]OUT_TransportEnergyCons!$B$3:$B$1000)*1,ISNUMBER(SEARCH("tpbsu",[1]OUT_TransportEnergyCons!$C$3:$C$1000))*1,[1]OUT_TransportEnergyCons!E$3:E$1000)</f>
        <v>3.5274501860855758E-6</v>
      </c>
      <c r="H1372" s="1" cm="1">
        <f t="array" ref="H1372">SUMPRODUCT(("T_B_u-ICEnga-S4"=[1]OUT_TransportEnergyCons!$A$3:$A$1000)*1,("var_fout"=[1]OUT_TransportEnergyCons!$B$3:$B$1000)*1,ISNUMBER(SEARCH("tpbsu",[1]OUT_TransportEnergyCons!$C$3:$C$1000))*1,[1]OUT_TransportEnergyCons!F$3:F$1000)</f>
        <v>8.5346056454021378E-6</v>
      </c>
      <c r="I1372" s="1" cm="1">
        <f t="array" ref="I1372">SUMPRODUCT(("T_B_u-ICEnga-S4"=[1]OUT_TransportEnergyCons!$A$3:$A$1000)*1,("var_fout"=[1]OUT_TransportEnergyCons!$B$3:$B$1000)*1,ISNUMBER(SEARCH("tpbsu",[1]OUT_TransportEnergyCons!$C$3:$C$1000))*1,[1]OUT_TransportEnergyCons!G$3:G$1000)</f>
        <v>1.48034259483553E-6</v>
      </c>
      <c r="J1372" s="1" cm="1">
        <f t="array" ref="J1372">SUMPRODUCT(("T_B_u-ICEnga-S4"=[1]OUT_TransportEnergyCons!$A$3:$A$1000)*1,("var_fout"=[1]OUT_TransportEnergyCons!$B$3:$B$1000)*1,ISNUMBER(SEARCH("tpbsu",[1]OUT_TransportEnergyCons!$C$3:$C$1000))*1,[1]OUT_TransportEnergyCons!H$3:H$1000)</f>
        <v>1.4611784375015857E-6</v>
      </c>
      <c r="K1372" s="1" cm="1">
        <f t="array" ref="K1372">SUMPRODUCT(("T_B_u-ICEnga-S4"=[1]OUT_TransportEnergyCons!$A$3:$A$1000)*1,("var_fout"=[1]OUT_TransportEnergyCons!$B$3:$B$1000)*1,ISNUMBER(SEARCH("tpbsu",[1]OUT_TransportEnergyCons!$C$3:$C$1000))*1,[1]OUT_TransportEnergyCons!I$3:I$1000)</f>
        <v>1.7350562645593559E-6</v>
      </c>
    </row>
    <row r="1373" spans="2:11" x14ac:dyDescent="0.35">
      <c r="B1373" s="5" t="str">
        <f t="shared" si="800"/>
        <v>SPS2</v>
      </c>
      <c r="C1373" s="5" t="str">
        <f>C1372</f>
        <v>CH</v>
      </c>
      <c r="D1373" s="2" t="s">
        <v>1371</v>
      </c>
      <c r="E1373" s="2" t="s">
        <v>1230</v>
      </c>
      <c r="F1373" s="22" t="s">
        <v>292</v>
      </c>
      <c r="G1373" s="22" t="s">
        <v>292</v>
      </c>
      <c r="H1373" s="22" t="s">
        <v>292</v>
      </c>
      <c r="I1373" s="22" t="s">
        <v>292</v>
      </c>
      <c r="J1373" s="22" t="s">
        <v>292</v>
      </c>
      <c r="K1373" s="22" t="s">
        <v>292</v>
      </c>
    </row>
    <row r="1374" spans="2:11" x14ac:dyDescent="0.35">
      <c r="B1374" s="5" t="str">
        <f t="shared" si="800"/>
        <v>SPS2</v>
      </c>
      <c r="C1374" s="5" t="str">
        <f t="shared" ref="C1374:C1396" si="811">C1373</f>
        <v>CH</v>
      </c>
      <c r="D1374" t="s">
        <v>1372</v>
      </c>
      <c r="E1374" t="s">
        <v>1230</v>
      </c>
      <c r="F1374" s="1">
        <f>IFERROR(F1350/F1315,"-")</f>
        <v>4.1906042144660249</v>
      </c>
      <c r="G1374" s="1">
        <f t="shared" ref="G1374:K1374" si="812">IFERROR(G1350/G1315,"-")</f>
        <v>3.3737507326839351</v>
      </c>
      <c r="H1374" s="1">
        <f t="shared" si="812"/>
        <v>2.1484705100107915</v>
      </c>
      <c r="I1374" s="1" t="str">
        <f t="shared" si="812"/>
        <v>-</v>
      </c>
      <c r="J1374" s="1" t="str">
        <f t="shared" si="812"/>
        <v>-</v>
      </c>
      <c r="K1374" s="1" t="str">
        <f t="shared" si="812"/>
        <v>-</v>
      </c>
    </row>
    <row r="1375" spans="2:11" x14ac:dyDescent="0.35">
      <c r="B1375" s="5" t="str">
        <f t="shared" si="800"/>
        <v>SPS2</v>
      </c>
      <c r="C1375" s="5" t="str">
        <f t="shared" si="811"/>
        <v>CH</v>
      </c>
      <c r="D1375" t="s">
        <v>1373</v>
      </c>
      <c r="E1375" t="s">
        <v>1230</v>
      </c>
      <c r="F1375" s="1">
        <f t="shared" ref="F1375:K1375" si="813">IFERROR(F1351/F1316,"-")</f>
        <v>0.37869321701871739</v>
      </c>
      <c r="G1375" s="1">
        <f t="shared" si="813"/>
        <v>0.39242390032223423</v>
      </c>
      <c r="H1375" s="1">
        <f t="shared" si="813"/>
        <v>0.39878185612849804</v>
      </c>
      <c r="I1375" s="1">
        <f t="shared" si="813"/>
        <v>0.44714854578834629</v>
      </c>
      <c r="J1375" s="1">
        <f t="shared" si="813"/>
        <v>0.47541043019259649</v>
      </c>
      <c r="K1375" s="1">
        <f t="shared" si="813"/>
        <v>0.52889008383985747</v>
      </c>
    </row>
    <row r="1376" spans="2:11" x14ac:dyDescent="0.35">
      <c r="B1376" s="5" t="str">
        <f t="shared" si="800"/>
        <v>SPS2</v>
      </c>
      <c r="C1376" s="5" t="str">
        <f t="shared" si="811"/>
        <v>CH</v>
      </c>
      <c r="D1376" t="s">
        <v>1374</v>
      </c>
      <c r="E1376" t="s">
        <v>1230</v>
      </c>
      <c r="F1376" s="1">
        <f t="shared" ref="F1376:K1376" si="814">IFERROR(F1352/F1317,"-")</f>
        <v>0.27518070496490665</v>
      </c>
      <c r="G1376" s="1">
        <f t="shared" si="814"/>
        <v>0.2795742262564675</v>
      </c>
      <c r="H1376" s="1">
        <f t="shared" si="814"/>
        <v>0.29268494558259084</v>
      </c>
      <c r="I1376" s="1">
        <f t="shared" si="814"/>
        <v>0.32250257181151276</v>
      </c>
      <c r="J1376" s="1">
        <f t="shared" si="814"/>
        <v>0.34380075496596252</v>
      </c>
      <c r="K1376" s="1">
        <f t="shared" si="814"/>
        <v>0.38192348740381665</v>
      </c>
    </row>
    <row r="1377" spans="2:11" x14ac:dyDescent="0.35">
      <c r="B1377" s="5" t="str">
        <f t="shared" si="800"/>
        <v>SPS2</v>
      </c>
      <c r="C1377" s="5" t="str">
        <f t="shared" si="811"/>
        <v>CH</v>
      </c>
      <c r="D1377" t="s">
        <v>1375</v>
      </c>
      <c r="E1377" t="s">
        <v>1230</v>
      </c>
      <c r="F1377" s="1">
        <f t="shared" ref="F1377:K1377" si="815">IFERROR(F1353/F1318,"-")</f>
        <v>0.18297040713439885</v>
      </c>
      <c r="G1377" s="1">
        <f t="shared" si="815"/>
        <v>0.18427520148723933</v>
      </c>
      <c r="H1377" s="1">
        <f t="shared" si="815"/>
        <v>0.18764338856967611</v>
      </c>
      <c r="I1377" s="1">
        <f t="shared" si="815"/>
        <v>0.21577000607822103</v>
      </c>
      <c r="J1377" s="1">
        <f t="shared" si="815"/>
        <v>0.23564953551662751</v>
      </c>
      <c r="K1377" s="1">
        <f t="shared" si="815"/>
        <v>0.25649459869094893</v>
      </c>
    </row>
    <row r="1378" spans="2:11" x14ac:dyDescent="0.35">
      <c r="B1378" s="5" t="str">
        <f t="shared" si="800"/>
        <v>SPS2</v>
      </c>
      <c r="C1378" s="5" t="str">
        <f t="shared" si="811"/>
        <v>CH</v>
      </c>
      <c r="D1378" t="s">
        <v>1376</v>
      </c>
      <c r="E1378" t="s">
        <v>1230</v>
      </c>
      <c r="F1378" s="1">
        <f t="shared" ref="F1378:K1378" si="816">IFERROR(F1354/F1319,"-")</f>
        <v>0.12198710645807069</v>
      </c>
      <c r="G1378" s="1">
        <f t="shared" si="816"/>
        <v>0.12440208313234681</v>
      </c>
      <c r="H1378" s="1">
        <f t="shared" si="816"/>
        <v>0.12796375361314188</v>
      </c>
      <c r="I1378" s="1">
        <f t="shared" si="816"/>
        <v>0.14395224722752903</v>
      </c>
      <c r="J1378" s="1">
        <f t="shared" si="816"/>
        <v>0.15673052447697797</v>
      </c>
      <c r="K1378" s="1">
        <f t="shared" si="816"/>
        <v>0.16953220345155967</v>
      </c>
    </row>
    <row r="1379" spans="2:11" x14ac:dyDescent="0.35">
      <c r="B1379" s="5" t="str">
        <f t="shared" si="800"/>
        <v>SPS2</v>
      </c>
      <c r="C1379" s="5" t="str">
        <f t="shared" si="811"/>
        <v>CH</v>
      </c>
      <c r="D1379" t="s">
        <v>1377</v>
      </c>
      <c r="E1379" t="s">
        <v>1230</v>
      </c>
      <c r="F1379" s="1" t="str">
        <f>IFERROR(F1355/F1321,"-")</f>
        <v>-</v>
      </c>
      <c r="G1379" s="1" t="str">
        <f t="shared" ref="G1379:K1379" si="817">IFERROR(G1355/G1321,"-")</f>
        <v>-</v>
      </c>
      <c r="H1379" s="1" t="str">
        <f t="shared" si="817"/>
        <v>-</v>
      </c>
      <c r="I1379" s="1">
        <f t="shared" si="817"/>
        <v>0.23440176174444088</v>
      </c>
      <c r="J1379" s="1">
        <f t="shared" si="817"/>
        <v>0.26025160755936194</v>
      </c>
      <c r="K1379" s="1">
        <f t="shared" si="817"/>
        <v>0.28982967353939321</v>
      </c>
    </row>
    <row r="1380" spans="2:11" x14ac:dyDescent="0.35">
      <c r="B1380" s="5" t="str">
        <f t="shared" si="800"/>
        <v>SPS2</v>
      </c>
      <c r="C1380" s="5" t="str">
        <f t="shared" si="811"/>
        <v>CH</v>
      </c>
      <c r="D1380" t="s">
        <v>1378</v>
      </c>
      <c r="E1380" t="s">
        <v>1230</v>
      </c>
      <c r="F1380" s="1" t="str">
        <f t="shared" ref="F1380:K1380" si="818">IFERROR(F1356/F1322,"-")</f>
        <v>-</v>
      </c>
      <c r="G1380" s="1" t="str">
        <f t="shared" si="818"/>
        <v>-</v>
      </c>
      <c r="H1380" s="1" t="str">
        <f t="shared" si="818"/>
        <v>-</v>
      </c>
      <c r="I1380" s="1">
        <f t="shared" si="818"/>
        <v>0.1691015145104961</v>
      </c>
      <c r="J1380" s="1">
        <f t="shared" si="818"/>
        <v>0.18398231505241003</v>
      </c>
      <c r="K1380" s="1">
        <f t="shared" si="818"/>
        <v>0.20151024921391575</v>
      </c>
    </row>
    <row r="1381" spans="2:11" x14ac:dyDescent="0.35">
      <c r="B1381" s="5" t="str">
        <f t="shared" si="800"/>
        <v>SPS2</v>
      </c>
      <c r="C1381" s="5" t="str">
        <f t="shared" si="811"/>
        <v>CH</v>
      </c>
      <c r="D1381" t="s">
        <v>1379</v>
      </c>
      <c r="E1381" t="s">
        <v>1230</v>
      </c>
      <c r="F1381" s="1" t="str">
        <f t="shared" ref="F1381:K1381" si="819">IFERROR(F1357/F1323,"-")</f>
        <v>-</v>
      </c>
      <c r="G1381" s="1" t="str">
        <f t="shared" si="819"/>
        <v>-</v>
      </c>
      <c r="H1381" s="1" t="str">
        <f t="shared" si="819"/>
        <v>-</v>
      </c>
      <c r="I1381" s="1">
        <f t="shared" si="819"/>
        <v>0.11310839137372307</v>
      </c>
      <c r="J1381" s="1">
        <f t="shared" si="819"/>
        <v>0.1247714295198394</v>
      </c>
      <c r="K1381" s="1">
        <f t="shared" si="819"/>
        <v>0.13777747077791128</v>
      </c>
    </row>
    <row r="1382" spans="2:11" x14ac:dyDescent="0.35">
      <c r="B1382" s="5" t="str">
        <f t="shared" si="800"/>
        <v>SPS2</v>
      </c>
      <c r="C1382" s="5" t="str">
        <f t="shared" si="811"/>
        <v>CH</v>
      </c>
      <c r="D1382" t="s">
        <v>1380</v>
      </c>
      <c r="E1382" t="s">
        <v>1230</v>
      </c>
      <c r="F1382" s="1" t="str">
        <f t="shared" ref="F1382:K1382" si="820">IFERROR(F1358/F1324,"-")</f>
        <v>-</v>
      </c>
      <c r="G1382" s="1" t="str">
        <f t="shared" si="820"/>
        <v>-</v>
      </c>
      <c r="H1382" s="1" t="str">
        <f t="shared" si="820"/>
        <v>-</v>
      </c>
      <c r="I1382" s="1">
        <f t="shared" si="820"/>
        <v>7.5896650184428871E-2</v>
      </c>
      <c r="J1382" s="1">
        <f t="shared" si="820"/>
        <v>8.4083777075313476E-2</v>
      </c>
      <c r="K1382" s="1">
        <f t="shared" si="820"/>
        <v>8.9074342408752616E-2</v>
      </c>
    </row>
    <row r="1383" spans="2:11" x14ac:dyDescent="0.35">
      <c r="B1383" s="5" t="str">
        <f t="shared" si="800"/>
        <v>SPS2</v>
      </c>
      <c r="C1383" s="5" t="str">
        <f t="shared" si="811"/>
        <v>CH</v>
      </c>
      <c r="D1383" t="s">
        <v>1381</v>
      </c>
      <c r="E1383" t="s">
        <v>1230</v>
      </c>
      <c r="F1383" s="1" t="str">
        <f>IFERROR(F1359/F1330,"-")</f>
        <v>-</v>
      </c>
      <c r="G1383" s="1">
        <f t="shared" ref="G1383:K1383" si="821">IFERROR(G1359/G1330,"-")</f>
        <v>0.16251369968883858</v>
      </c>
      <c r="H1383" s="1">
        <f t="shared" si="821"/>
        <v>0.16293383566072764</v>
      </c>
      <c r="I1383" s="1" t="str">
        <f t="shared" si="821"/>
        <v>-</v>
      </c>
      <c r="J1383" s="1">
        <f t="shared" si="821"/>
        <v>0.20464841739300302</v>
      </c>
      <c r="K1383" s="1">
        <f t="shared" si="821"/>
        <v>0.20464841739300318</v>
      </c>
    </row>
    <row r="1384" spans="2:11" x14ac:dyDescent="0.35">
      <c r="B1384" s="5" t="str">
        <f t="shared" si="800"/>
        <v>SPS2</v>
      </c>
      <c r="C1384" s="5" t="str">
        <f t="shared" si="811"/>
        <v>CH</v>
      </c>
      <c r="D1384" t="s">
        <v>1382</v>
      </c>
      <c r="E1384" t="s">
        <v>1230</v>
      </c>
      <c r="F1384" s="1" t="str">
        <f t="shared" ref="F1384:K1384" si="822">IFERROR(F1360/F1331,"-")</f>
        <v>-</v>
      </c>
      <c r="G1384" s="1">
        <f t="shared" si="822"/>
        <v>0.11649393435744149</v>
      </c>
      <c r="H1384" s="1">
        <f t="shared" si="822"/>
        <v>0.11895924612577723</v>
      </c>
      <c r="I1384" s="1" t="str">
        <f t="shared" si="822"/>
        <v>-</v>
      </c>
      <c r="J1384" s="1" t="str">
        <f t="shared" si="822"/>
        <v>-</v>
      </c>
      <c r="K1384" s="1">
        <f t="shared" si="822"/>
        <v>0.14489898666160606</v>
      </c>
    </row>
    <row r="1385" spans="2:11" x14ac:dyDescent="0.35">
      <c r="B1385" s="5" t="str">
        <f t="shared" si="800"/>
        <v>SPS2</v>
      </c>
      <c r="C1385" s="5" t="str">
        <f t="shared" si="811"/>
        <v>CH</v>
      </c>
      <c r="D1385" t="s">
        <v>1383</v>
      </c>
      <c r="E1385" t="s">
        <v>1230</v>
      </c>
      <c r="F1385" s="1" t="str">
        <f t="shared" ref="F1385:K1385" si="823">IFERROR(F1361/F1332,"-")</f>
        <v>-</v>
      </c>
      <c r="G1385" s="1">
        <f t="shared" si="823"/>
        <v>7.8235828164578941E-2</v>
      </c>
      <c r="H1385" s="1">
        <f t="shared" si="823"/>
        <v>7.9537559465310811E-2</v>
      </c>
      <c r="I1385" s="1" t="str">
        <f t="shared" si="823"/>
        <v>-</v>
      </c>
      <c r="J1385" s="1">
        <f t="shared" si="823"/>
        <v>9.8731992554448728E-2</v>
      </c>
      <c r="K1385" s="1">
        <f t="shared" si="823"/>
        <v>9.8731992554448825E-2</v>
      </c>
    </row>
    <row r="1386" spans="2:11" x14ac:dyDescent="0.35">
      <c r="B1386" s="5" t="str">
        <f t="shared" si="800"/>
        <v>SPS2</v>
      </c>
      <c r="C1386" s="5" t="str">
        <f t="shared" si="811"/>
        <v>CH</v>
      </c>
      <c r="D1386" t="s">
        <v>1384</v>
      </c>
      <c r="E1386" t="s">
        <v>1230</v>
      </c>
      <c r="F1386" s="1" t="str">
        <f t="shared" ref="F1386:K1386" si="824">IFERROR(F1362/F1333,"-")</f>
        <v>-</v>
      </c>
      <c r="G1386" s="1">
        <f t="shared" si="824"/>
        <v>5.2751439830497737E-2</v>
      </c>
      <c r="H1386" s="1">
        <f t="shared" si="824"/>
        <v>5.3947148559426193E-2</v>
      </c>
      <c r="I1386" s="1" t="str">
        <f t="shared" si="824"/>
        <v>-</v>
      </c>
      <c r="J1386" s="1" t="str">
        <f t="shared" si="824"/>
        <v>-</v>
      </c>
      <c r="K1386" s="1">
        <f t="shared" si="824"/>
        <v>6.667676535769991E-2</v>
      </c>
    </row>
    <row r="1387" spans="2:11" x14ac:dyDescent="0.35">
      <c r="B1387" s="5" t="str">
        <f t="shared" si="800"/>
        <v>SPS2</v>
      </c>
      <c r="C1387" s="5" t="str">
        <f t="shared" si="811"/>
        <v>CH</v>
      </c>
      <c r="D1387" t="s">
        <v>2003</v>
      </c>
      <c r="E1387" t="s">
        <v>1230</v>
      </c>
      <c r="F1387" s="1">
        <f>IFERROR(F1363/F1334,"-")</f>
        <v>13.968680714886801</v>
      </c>
      <c r="G1387" s="1">
        <f t="shared" ref="G1387:K1387" si="825">IFERROR(G1363/G1334,"-")</f>
        <v>11.189596541502661</v>
      </c>
      <c r="H1387" s="1">
        <f t="shared" si="825"/>
        <v>7.020970281426421</v>
      </c>
      <c r="I1387" s="1" t="str">
        <f t="shared" si="825"/>
        <v>-</v>
      </c>
      <c r="J1387" s="1" t="str">
        <f t="shared" si="825"/>
        <v>-</v>
      </c>
      <c r="K1387" s="1" t="str">
        <f t="shared" si="825"/>
        <v>-</v>
      </c>
    </row>
    <row r="1388" spans="2:11" x14ac:dyDescent="0.35">
      <c r="B1388" s="5" t="str">
        <f t="shared" si="800"/>
        <v>SPS2</v>
      </c>
      <c r="C1388" s="5" t="str">
        <f t="shared" si="811"/>
        <v>CH</v>
      </c>
      <c r="D1388" t="s">
        <v>1385</v>
      </c>
      <c r="E1388" t="s">
        <v>1230</v>
      </c>
      <c r="F1388" s="1">
        <f t="shared" ref="F1388:K1388" si="826">IFERROR(F1364/F1335,"-")</f>
        <v>0.12391916748597485</v>
      </c>
      <c r="G1388" s="1">
        <f t="shared" si="826"/>
        <v>0.12850850941275391</v>
      </c>
      <c r="H1388" s="1">
        <f t="shared" si="826"/>
        <v>0.13179493714884793</v>
      </c>
      <c r="I1388" s="1">
        <f t="shared" si="826"/>
        <v>0.12391916748597505</v>
      </c>
      <c r="J1388" s="1">
        <f t="shared" si="826"/>
        <v>0.16277535382583042</v>
      </c>
      <c r="K1388" s="1">
        <f t="shared" si="826"/>
        <v>0.16277535382583042</v>
      </c>
    </row>
    <row r="1389" spans="2:11" x14ac:dyDescent="0.35">
      <c r="B1389" s="5" t="str">
        <f t="shared" si="800"/>
        <v>SPS2</v>
      </c>
      <c r="C1389" s="5" t="str">
        <f t="shared" si="811"/>
        <v>CH</v>
      </c>
      <c r="D1389" t="s">
        <v>1386</v>
      </c>
      <c r="E1389" t="s">
        <v>1230</v>
      </c>
      <c r="F1389" s="1">
        <f t="shared" ref="F1389:K1389" si="827">IFERROR(F1365/F1336,"-")</f>
        <v>8.7465847585616846E-2</v>
      </c>
      <c r="G1389" s="1">
        <f t="shared" si="827"/>
        <v>8.774566217732567E-2</v>
      </c>
      <c r="H1389" s="1">
        <f t="shared" si="827"/>
        <v>9.0540387858407997E-2</v>
      </c>
      <c r="I1389" s="1" t="str">
        <f t="shared" si="827"/>
        <v>-</v>
      </c>
      <c r="J1389" s="1" t="str">
        <f t="shared" si="827"/>
        <v>-</v>
      </c>
      <c r="K1389" s="1">
        <f t="shared" si="827"/>
        <v>0.1081689586477837</v>
      </c>
    </row>
    <row r="1390" spans="2:11" x14ac:dyDescent="0.35">
      <c r="B1390" s="5" t="str">
        <f t="shared" si="800"/>
        <v>SPS2</v>
      </c>
      <c r="C1390" s="5" t="str">
        <f t="shared" si="811"/>
        <v>CH</v>
      </c>
      <c r="D1390" t="s">
        <v>1387</v>
      </c>
      <c r="E1390" t="s">
        <v>1230</v>
      </c>
      <c r="F1390" s="1">
        <f t="shared" ref="F1390:K1390" si="828">IFERROR(F1366/F1337,"-")</f>
        <v>5.794952798654858E-2</v>
      </c>
      <c r="G1390" s="1">
        <f t="shared" si="828"/>
        <v>5.8159841587733796E-2</v>
      </c>
      <c r="H1390" s="1">
        <f t="shared" si="828"/>
        <v>6.025770316786562E-2</v>
      </c>
      <c r="I1390" s="1" t="str">
        <f t="shared" si="828"/>
        <v>-</v>
      </c>
      <c r="J1390" s="1" t="str">
        <f t="shared" si="828"/>
        <v>-</v>
      </c>
      <c r="K1390" s="1">
        <f t="shared" si="828"/>
        <v>7.5170537347230351E-2</v>
      </c>
    </row>
    <row r="1391" spans="2:11" x14ac:dyDescent="0.35">
      <c r="B1391" s="5" t="str">
        <f t="shared" si="800"/>
        <v>SPS2</v>
      </c>
      <c r="C1391" s="5" t="str">
        <f t="shared" si="811"/>
        <v>CH</v>
      </c>
      <c r="D1391" t="s">
        <v>1388</v>
      </c>
      <c r="E1391" t="s">
        <v>1230</v>
      </c>
      <c r="F1391" s="1">
        <f t="shared" ref="F1391:K1391" si="829">IFERROR(F1367/F1338,"-")</f>
        <v>3.8646481387947455E-2</v>
      </c>
      <c r="G1391" s="1">
        <f t="shared" si="829"/>
        <v>3.8917632475792774E-2</v>
      </c>
      <c r="H1391" s="1">
        <f t="shared" si="829"/>
        <v>3.9195347928861569E-2</v>
      </c>
      <c r="I1391" s="1" t="str">
        <f t="shared" si="829"/>
        <v>-</v>
      </c>
      <c r="J1391" s="1" t="str">
        <f t="shared" si="829"/>
        <v>-</v>
      </c>
      <c r="K1391" s="1">
        <f t="shared" si="829"/>
        <v>5.0276157236679032E-2</v>
      </c>
    </row>
    <row r="1392" spans="2:11" x14ac:dyDescent="0.35">
      <c r="B1392" s="5" t="str">
        <f t="shared" si="800"/>
        <v>SPS2</v>
      </c>
      <c r="C1392" s="5" t="str">
        <f t="shared" si="811"/>
        <v>CH</v>
      </c>
      <c r="D1392" t="s">
        <v>2007</v>
      </c>
      <c r="E1392" t="s">
        <v>1230</v>
      </c>
      <c r="F1392" s="1">
        <f>IFERROR(F1368/F1344,"-")</f>
        <v>13.968680714886785</v>
      </c>
      <c r="G1392" s="1">
        <f t="shared" ref="G1392:K1392" si="830">IFERROR(G1368/G1344,"-")</f>
        <v>11.186996076539071</v>
      </c>
      <c r="H1392" s="1">
        <f t="shared" si="830"/>
        <v>7.0144691190174706</v>
      </c>
      <c r="I1392" s="1" t="str">
        <f t="shared" si="830"/>
        <v>-</v>
      </c>
      <c r="J1392" s="1" t="str">
        <f t="shared" si="830"/>
        <v>-</v>
      </c>
      <c r="K1392" s="1" t="str">
        <f t="shared" si="830"/>
        <v>-</v>
      </c>
    </row>
    <row r="1393" spans="2:11" x14ac:dyDescent="0.35">
      <c r="B1393" s="5" t="str">
        <f t="shared" si="800"/>
        <v>SPS2</v>
      </c>
      <c r="C1393" s="5" t="str">
        <f t="shared" si="811"/>
        <v>CH</v>
      </c>
      <c r="D1393" t="s">
        <v>1389</v>
      </c>
      <c r="E1393" t="s">
        <v>1230</v>
      </c>
      <c r="F1393" s="1" t="str">
        <f t="shared" ref="F1393:K1393" si="831">IFERROR(F1369/F1345,"-")</f>
        <v>-</v>
      </c>
      <c r="G1393" s="1">
        <f t="shared" si="831"/>
        <v>0.12023751974847217</v>
      </c>
      <c r="H1393" s="1">
        <f t="shared" si="831"/>
        <v>0.12218565593369368</v>
      </c>
      <c r="I1393" s="1">
        <f t="shared" si="831"/>
        <v>0.1273595081460315</v>
      </c>
      <c r="J1393" s="1">
        <f t="shared" si="831"/>
        <v>0.15290988452940504</v>
      </c>
      <c r="K1393" s="1">
        <f t="shared" si="831"/>
        <v>0.1524900992175145</v>
      </c>
    </row>
    <row r="1394" spans="2:11" x14ac:dyDescent="0.35">
      <c r="B1394" s="5" t="str">
        <f t="shared" si="800"/>
        <v>SPS2</v>
      </c>
      <c r="C1394" s="5" t="str">
        <f t="shared" si="811"/>
        <v>CH</v>
      </c>
      <c r="D1394" t="s">
        <v>1390</v>
      </c>
      <c r="E1394" t="s">
        <v>1230</v>
      </c>
      <c r="F1394" s="1" t="str">
        <f t="shared" ref="F1394:K1394" si="832">IFERROR(F1370/F1346,"-")</f>
        <v>-</v>
      </c>
      <c r="G1394" s="1">
        <f t="shared" si="832"/>
        <v>8.499807623360893E-2</v>
      </c>
      <c r="H1394" s="1">
        <f t="shared" si="832"/>
        <v>8.8146168403886394E-2</v>
      </c>
      <c r="I1394" s="1">
        <f t="shared" si="832"/>
        <v>9.0568374584109851E-2</v>
      </c>
      <c r="J1394" s="1">
        <f t="shared" si="832"/>
        <v>0.10690580004720131</v>
      </c>
      <c r="K1394" s="1">
        <f t="shared" si="832"/>
        <v>0.10690580004720135</v>
      </c>
    </row>
    <row r="1395" spans="2:11" x14ac:dyDescent="0.35">
      <c r="B1395" s="5" t="str">
        <f t="shared" si="800"/>
        <v>SPS2</v>
      </c>
      <c r="C1395" s="5" t="str">
        <f t="shared" si="811"/>
        <v>CH</v>
      </c>
      <c r="D1395" t="s">
        <v>1391</v>
      </c>
      <c r="E1395" t="s">
        <v>1230</v>
      </c>
      <c r="F1395" s="1" t="str">
        <f t="shared" ref="F1395:K1395" si="833">IFERROR(F1371/F1347,"-")</f>
        <v>-</v>
      </c>
      <c r="G1395" s="1">
        <f t="shared" si="833"/>
        <v>5.6422133461237138E-2</v>
      </c>
      <c r="H1395" s="1">
        <f t="shared" si="833"/>
        <v>5.90562491993534E-2</v>
      </c>
      <c r="I1395" s="1">
        <f t="shared" si="833"/>
        <v>6.0010994690938312E-2</v>
      </c>
      <c r="J1395" s="1">
        <f t="shared" si="833"/>
        <v>7.0958063870597513E-2</v>
      </c>
      <c r="K1395" s="1">
        <f t="shared" si="833"/>
        <v>7.0958063870597485E-2</v>
      </c>
    </row>
    <row r="1396" spans="2:11" x14ac:dyDescent="0.35">
      <c r="B1396" s="5" t="str">
        <f t="shared" ref="B1396:B1459" si="834">B1395</f>
        <v>SPS2</v>
      </c>
      <c r="C1396" s="5" t="str">
        <f t="shared" si="811"/>
        <v>CH</v>
      </c>
      <c r="D1396" t="s">
        <v>1392</v>
      </c>
      <c r="E1396" t="s">
        <v>1230</v>
      </c>
      <c r="F1396" s="1" t="str">
        <f t="shared" ref="F1396:K1396" si="835">IFERROR(F1372/F1348,"-")</f>
        <v>-</v>
      </c>
      <c r="G1396" s="1">
        <f t="shared" si="835"/>
        <v>3.7689157759834314E-2</v>
      </c>
      <c r="H1396" s="1">
        <f t="shared" si="835"/>
        <v>3.8714035802468835E-2</v>
      </c>
      <c r="I1396" s="1">
        <f t="shared" si="835"/>
        <v>3.8444629946574584E-2</v>
      </c>
      <c r="J1396" s="1">
        <f t="shared" si="835"/>
        <v>4.6314671755088022E-2</v>
      </c>
      <c r="K1396" s="1">
        <f t="shared" si="835"/>
        <v>4.7499172390542459E-2</v>
      </c>
    </row>
    <row r="1397" spans="2:11" x14ac:dyDescent="0.35">
      <c r="B1397" s="9" t="str">
        <f t="shared" si="834"/>
        <v>SPS2</v>
      </c>
      <c r="C1397" s="9" t="str">
        <f>C1396</f>
        <v>CH</v>
      </c>
      <c r="D1397" s="2" t="s">
        <v>1395</v>
      </c>
      <c r="E1397" s="2" t="s">
        <v>8</v>
      </c>
      <c r="F1397" s="3">
        <f>F1398+F1404+F1409+F1423</f>
        <v>0.81446799051690633</v>
      </c>
      <c r="G1397" s="3">
        <f t="shared" ref="G1397" si="836">G1398+G1404+G1409+G1423</f>
        <v>0.84015790929078094</v>
      </c>
      <c r="H1397" s="3">
        <f t="shared" ref="H1397" si="837">H1398+H1404+H1409+H1423</f>
        <v>1.0287757296419562</v>
      </c>
      <c r="I1397" s="3">
        <f t="shared" ref="I1397" si="838">I1398+I1404+I1409+I1423</f>
        <v>0.3789397970251997</v>
      </c>
      <c r="J1397" s="3">
        <f t="shared" ref="J1397" si="839">J1398+J1404+J1409+J1423</f>
        <v>0.35484338396971438</v>
      </c>
      <c r="K1397" s="3">
        <f t="shared" ref="K1397" si="840">K1398+K1404+K1409+K1423</f>
        <v>0.31410685722882031</v>
      </c>
    </row>
    <row r="1398" spans="2:11" x14ac:dyDescent="0.35">
      <c r="B1398" s="5" t="str">
        <f t="shared" si="834"/>
        <v>SPS2</v>
      </c>
      <c r="C1398" s="5" t="str">
        <f>C1397</f>
        <v>CH</v>
      </c>
      <c r="D1398" t="s">
        <v>1396</v>
      </c>
      <c r="E1398" t="s">
        <v>8</v>
      </c>
      <c r="F1398" s="1">
        <f>SUM(F1399:F1403)</f>
        <v>2.1159281365604504E-3</v>
      </c>
      <c r="G1398" s="1">
        <f t="shared" ref="G1398" si="841">SUM(G1399:G1403)</f>
        <v>5.2067854044742408E-3</v>
      </c>
      <c r="H1398" s="1">
        <f t="shared" ref="H1398" si="842">SUM(H1399:H1403)</f>
        <v>8.0386560254259182E-3</v>
      </c>
      <c r="I1398" s="1">
        <f t="shared" ref="I1398" si="843">SUM(I1399:I1403)</f>
        <v>0.37869716513437374</v>
      </c>
      <c r="J1398" s="1">
        <f t="shared" ref="J1398" si="844">SUM(J1399:J1403)</f>
        <v>0.35438962981837857</v>
      </c>
      <c r="K1398" s="1">
        <f t="shared" ref="K1398" si="845">SUM(K1399:K1403)</f>
        <v>0.31393630217966234</v>
      </c>
    </row>
    <row r="1399" spans="2:11" x14ac:dyDescent="0.35">
      <c r="B1399" s="5" t="str">
        <f t="shared" si="834"/>
        <v>SPS2</v>
      </c>
      <c r="C1399" s="5" t="str">
        <f t="shared" ref="C1399:C1432" si="846">C1398</f>
        <v>CH</v>
      </c>
      <c r="D1399" t="s">
        <v>1397</v>
      </c>
      <c r="E1399" t="s">
        <v>8</v>
      </c>
      <c r="F1399" s="1" cm="1">
        <f t="array" ref="F1399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399" s="1" cm="1">
        <f t="array" ref="G1399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399" s="1" cm="1">
        <f t="array" ref="H1399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399" s="1" cm="1">
        <f t="array" ref="I1399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399" s="1" cm="1">
        <f t="array" ref="J1399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399" s="1" cm="1">
        <f t="array" ref="K1399">SUMPRODUCT(("T_B_c-BeVELCEXT"=[1]OUT_TransportEnergyCons!$A$3:$A$1000)*1,("Var_Fin"=[1]OUT_TransportEnergyCons!$B$3:$B$1000)*1,ISNUMBER(SEARCH("ELC",[1]OUT_TransportEnergyCons!$C$3:$C$1000))*1,[1]OUT_TransportEnergyCons!I$3:I$1000)</f>
        <v>0</v>
      </c>
    </row>
    <row r="1400" spans="2:11" x14ac:dyDescent="0.35">
      <c r="B1400" s="5" t="str">
        <f t="shared" si="834"/>
        <v>SPS2</v>
      </c>
      <c r="C1400" s="5" t="str">
        <f t="shared" si="846"/>
        <v>CH</v>
      </c>
      <c r="D1400" t="s">
        <v>1398</v>
      </c>
      <c r="E1400" t="s">
        <v>8</v>
      </c>
      <c r="F1400" s="1" cm="1">
        <f t="array" ref="F1400">SUMPRODUCT(("T_B_c-BEVELC-S1"=[1]OUT_TransportEnergyCons!$A$3:$A$1000)*1,("Var_Fin"=[1]OUT_TransportEnergyCons!$B$3:$B$1000)*1,ISNUMBER(SEARCH("ELC",[1]OUT_TransportEnergyCons!$C$3:$C$1000))*1,[1]OUT_TransportEnergyCons!D$3:D$1000)</f>
        <v>4.2360449729668788E-4</v>
      </c>
      <c r="G1400" s="1" cm="1">
        <f t="array" ref="G1400">SUMPRODUCT(("T_B_c-BEVELC-S1"=[1]OUT_TransportEnergyCons!$A$3:$A$1000)*1,("Var_Fin"=[1]OUT_TransportEnergyCons!$B$3:$B$1000)*1,ISNUMBER(SEARCH("ELC",[1]OUT_TransportEnergyCons!$C$3:$C$1000))*1,[1]OUT_TransportEnergyCons!E$3:E$1000)</f>
        <v>2.0998390353768291E-3</v>
      </c>
      <c r="H1400" s="1" cm="1">
        <f t="array" ref="H1400">SUMPRODUCT(("T_B_c-BEVELC-S1"=[1]OUT_TransportEnergyCons!$A$3:$A$1000)*1,("Var_Fin"=[1]OUT_TransportEnergyCons!$B$3:$B$1000)*1,ISNUMBER(SEARCH("ELC",[1]OUT_TransportEnergyCons!$C$3:$C$1000))*1,[1]OUT_TransportEnergyCons!F$3:F$1000)</f>
        <v>3.9412935897884249E-3</v>
      </c>
      <c r="I1400" s="1" cm="1">
        <f t="array" ref="I1400">SUMPRODUCT(("T_B_c-BEVELC-S1"=[1]OUT_TransportEnergyCons!$A$3:$A$1000)*1,("Var_Fin"=[1]OUT_TransportEnergyCons!$B$3:$B$1000)*1,ISNUMBER(SEARCH("ELC",[1]OUT_TransportEnergyCons!$C$3:$C$1000))*1,[1]OUT_TransportEnergyCons!G$3:G$1000)</f>
        <v>0.14466806814310088</v>
      </c>
      <c r="J1400" s="1" cm="1">
        <f t="array" ref="J1400">SUMPRODUCT(("T_B_c-BEVELC-S1"=[1]OUT_TransportEnergyCons!$A$3:$A$1000)*1,("Var_Fin"=[1]OUT_TransportEnergyCons!$B$3:$B$1000)*1,ISNUMBER(SEARCH("ELC",[1]OUT_TransportEnergyCons!$C$3:$C$1000))*1,[1]OUT_TransportEnergyCons!H$3:H$1000)</f>
        <v>0.13725370214685398</v>
      </c>
      <c r="K1400" s="1" cm="1">
        <f t="array" ref="K1400">SUMPRODUCT(("T_B_c-BEVELC-S1"=[1]OUT_TransportEnergyCons!$A$3:$A$1000)*1,("Var_Fin"=[1]OUT_TransportEnergyCons!$B$3:$B$1000)*1,ISNUMBER(SEARCH("ELC",[1]OUT_TransportEnergyCons!$C$3:$C$1000))*1,[1]OUT_TransportEnergyCons!I$3:I$1000)</f>
        <v>0.11889788107588445</v>
      </c>
    </row>
    <row r="1401" spans="2:11" x14ac:dyDescent="0.35">
      <c r="B1401" s="5" t="str">
        <f t="shared" si="834"/>
        <v>SPS2</v>
      </c>
      <c r="C1401" s="5" t="str">
        <f t="shared" si="846"/>
        <v>CH</v>
      </c>
      <c r="D1401" t="s">
        <v>1399</v>
      </c>
      <c r="E1401" t="s">
        <v>8</v>
      </c>
      <c r="F1401" s="1" cm="1">
        <f t="array" ref="F1401">SUMPRODUCT(("T_B_c-BEVELC-S2"=[1]OUT_TransportEnergyCons!$A$3:$A$1000)*1,("Var_Fin"=[1]OUT_TransportEnergyCons!$B$3:$B$1000)*1,ISNUMBER(SEARCH("ELC",[1]OUT_TransportEnergyCons!$C$3:$C$1000))*1,[1]OUT_TransportEnergyCons!D$3:D$1000)</f>
        <v>1.2270187951719661E-3</v>
      </c>
      <c r="G1401" s="1" cm="1">
        <f t="array" ref="G1401">SUMPRODUCT(("T_B_c-BEVELC-S2"=[1]OUT_TransportEnergyCons!$A$3:$A$1000)*1,("Var_Fin"=[1]OUT_TransportEnergyCons!$B$3:$B$1000)*1,ISNUMBER(SEARCH("ELC",[1]OUT_TransportEnergyCons!$C$3:$C$1000))*1,[1]OUT_TransportEnergyCons!E$3:E$1000)</f>
        <v>2.1527584076988528E-3</v>
      </c>
      <c r="H1401" s="1" cm="1">
        <f t="array" ref="H1401">SUMPRODUCT(("T_B_c-BEVELC-S2"=[1]OUT_TransportEnergyCons!$A$3:$A$1000)*1,("Var_Fin"=[1]OUT_TransportEnergyCons!$B$3:$B$1000)*1,ISNUMBER(SEARCH("ELC",[1]OUT_TransportEnergyCons!$C$3:$C$1000))*1,[1]OUT_TransportEnergyCons!F$3:F$1000)</f>
        <v>2.7487039987652085E-3</v>
      </c>
      <c r="I1401" s="1" cm="1">
        <f t="array" ref="I1401">SUMPRODUCT(("T_B_c-BEVELC-S2"=[1]OUT_TransportEnergyCons!$A$3:$A$1000)*1,("Var_Fin"=[1]OUT_TransportEnergyCons!$B$3:$B$1000)*1,ISNUMBER(SEARCH("ELC",[1]OUT_TransportEnergyCons!$C$3:$C$1000))*1,[1]OUT_TransportEnergyCons!G$3:G$1000)</f>
        <v>0.17705052849041156</v>
      </c>
      <c r="J1401" s="1" cm="1">
        <f t="array" ref="J1401">SUMPRODUCT(("T_B_c-BEVELC-S2"=[1]OUT_TransportEnergyCons!$A$3:$A$1000)*1,("Var_Fin"=[1]OUT_TransportEnergyCons!$B$3:$B$1000)*1,ISNUMBER(SEARCH("ELC",[1]OUT_TransportEnergyCons!$C$3:$C$1000))*1,[1]OUT_TransportEnergyCons!H$3:H$1000)</f>
        <v>0.1645727088160443</v>
      </c>
      <c r="K1401" s="1" cm="1">
        <f t="array" ref="K1401">SUMPRODUCT(("T_B_c-BEVELC-S2"=[1]OUT_TransportEnergyCons!$A$3:$A$1000)*1,("Var_Fin"=[1]OUT_TransportEnergyCons!$B$3:$B$1000)*1,ISNUMBER(SEARCH("ELC",[1]OUT_TransportEnergyCons!$C$3:$C$1000))*1,[1]OUT_TransportEnergyCons!I$3:I$1000)</f>
        <v>0.14803259391905632</v>
      </c>
    </row>
    <row r="1402" spans="2:11" x14ac:dyDescent="0.35">
      <c r="B1402" s="5" t="str">
        <f t="shared" si="834"/>
        <v>SPS2</v>
      </c>
      <c r="C1402" s="5" t="str">
        <f t="shared" si="846"/>
        <v>CH</v>
      </c>
      <c r="D1402" t="s">
        <v>1400</v>
      </c>
      <c r="E1402" t="s">
        <v>8</v>
      </c>
      <c r="F1402" s="1" cm="1">
        <f t="array" ref="F1402">SUMPRODUCT(("T_B_c-BEVELC-S3"=[1]OUT_TransportEnergyCons!$A$3:$A$1000)*1,("Var_Fin"=[1]OUT_TransportEnergyCons!$B$3:$B$1000)*1,ISNUMBER(SEARCH("ELC",[1]OUT_TransportEnergyCons!$C$3:$C$1000))*1,[1]OUT_TransportEnergyCons!D$3:D$1000)</f>
        <v>4.6530484409179623E-4</v>
      </c>
      <c r="G1402" s="1" cm="1">
        <f t="array" ref="G1402">SUMPRODUCT(("T_B_c-BEVELC-S3"=[1]OUT_TransportEnergyCons!$A$3:$A$1000)*1,("Var_Fin"=[1]OUT_TransportEnergyCons!$B$3:$B$1000)*1,ISNUMBER(SEARCH("ELC",[1]OUT_TransportEnergyCons!$C$3:$C$1000))*1,[1]OUT_TransportEnergyCons!E$3:E$1000)</f>
        <v>7.801452200562717E-4</v>
      </c>
      <c r="H1402" s="1" cm="1">
        <f t="array" ref="H1402">SUMPRODUCT(("T_B_c-BEVELC-S3"=[1]OUT_TransportEnergyCons!$A$3:$A$1000)*1,("Var_Fin"=[1]OUT_TransportEnergyCons!$B$3:$B$1000)*1,ISNUMBER(SEARCH("ELC",[1]OUT_TransportEnergyCons!$C$3:$C$1000))*1,[1]OUT_TransportEnergyCons!F$3:F$1000)</f>
        <v>1.0747260677621856E-3</v>
      </c>
      <c r="I1402" s="1" cm="1">
        <f t="array" ref="I1402">SUMPRODUCT(("T_B_c-BEVELC-S3"=[1]OUT_TransportEnergyCons!$A$3:$A$1000)*1,("Var_Fin"=[1]OUT_TransportEnergyCons!$B$3:$B$1000)*1,ISNUMBER(SEARCH("ELC",[1]OUT_TransportEnergyCons!$C$3:$C$1000))*1,[1]OUT_TransportEnergyCons!G$3:G$1000)</f>
        <v>5.6831643378903923E-2</v>
      </c>
      <c r="J1402" s="1" cm="1">
        <f t="array" ref="J1402">SUMPRODUCT(("T_B_c-BEVELC-S3"=[1]OUT_TransportEnergyCons!$A$3:$A$1000)*1,("Var_Fin"=[1]OUT_TransportEnergyCons!$B$3:$B$1000)*1,ISNUMBER(SEARCH("ELC",[1]OUT_TransportEnergyCons!$C$3:$C$1000))*1,[1]OUT_TransportEnergyCons!H$3:H$1000)</f>
        <v>5.2097730412404467E-2</v>
      </c>
      <c r="K1402" s="1" cm="1">
        <f t="array" ref="K1402">SUMPRODUCT(("T_B_c-BEVELC-S3"=[1]OUT_TransportEnergyCons!$A$3:$A$1000)*1,("Var_Fin"=[1]OUT_TransportEnergyCons!$B$3:$B$1000)*1,ISNUMBER(SEARCH("ELC",[1]OUT_TransportEnergyCons!$C$3:$C$1000))*1,[1]OUT_TransportEnergyCons!I$3:I$1000)</f>
        <v>4.6850293691325005E-2</v>
      </c>
    </row>
    <row r="1403" spans="2:11" x14ac:dyDescent="0.35">
      <c r="B1403" s="5" t="str">
        <f t="shared" si="834"/>
        <v>SPS2</v>
      </c>
      <c r="C1403" s="5" t="str">
        <f t="shared" si="846"/>
        <v>CH</v>
      </c>
      <c r="D1403" t="s">
        <v>1401</v>
      </c>
      <c r="E1403" t="s">
        <v>8</v>
      </c>
      <c r="F1403" s="1" cm="1">
        <f t="array" ref="F1403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3" s="1" cm="1">
        <f t="array" ref="G1403">SUMPRODUCT(("T_B_c-BEVELC-S4"=[1]OUT_TransportEnergyCons!$A$3:$A$1000)*1,("Var_Fin"=[1]OUT_TransportEnergyCons!$B$3:$B$1000)*1,ISNUMBER(SEARCH("ELC",[1]OUT_TransportEnergyCons!$C$3:$C$1000))*1,[1]OUT_TransportEnergyCons!E$3:E$1000)</f>
        <v>1.7404274134228675E-4</v>
      </c>
      <c r="H1403" s="1" cm="1">
        <f t="array" ref="H1403">SUMPRODUCT(("T_B_c-BEVELC-S4"=[1]OUT_TransportEnergyCons!$A$3:$A$1000)*1,("Var_Fin"=[1]OUT_TransportEnergyCons!$B$3:$B$1000)*1,ISNUMBER(SEARCH("ELC",[1]OUT_TransportEnergyCons!$C$3:$C$1000))*1,[1]OUT_TransportEnergyCons!F$3:F$1000)</f>
        <v>2.7393236911009899E-4</v>
      </c>
      <c r="I1403" s="1" cm="1">
        <f t="array" ref="I1403">SUMPRODUCT(("T_B_c-BEVELC-S4"=[1]OUT_TransportEnergyCons!$A$3:$A$1000)*1,("Var_Fin"=[1]OUT_TransportEnergyCons!$B$3:$B$1000)*1,ISNUMBER(SEARCH("ELC",[1]OUT_TransportEnergyCons!$C$3:$C$1000))*1,[1]OUT_TransportEnergyCons!G$3:G$1000)</f>
        <v>1.4692512195742287E-4</v>
      </c>
      <c r="J1403" s="1" cm="1">
        <f t="array" ref="J1403">SUMPRODUCT(("T_B_c-BEVELC-S4"=[1]OUT_TransportEnergyCons!$A$3:$A$1000)*1,("Var_Fin"=[1]OUT_TransportEnergyCons!$B$3:$B$1000)*1,ISNUMBER(SEARCH("ELC",[1]OUT_TransportEnergyCons!$C$3:$C$1000))*1,[1]OUT_TransportEnergyCons!H$3:H$1000)</f>
        <v>4.6548844307580837E-4</v>
      </c>
      <c r="K1403" s="1" cm="1">
        <f t="array" ref="K1403">SUMPRODUCT(("T_B_c-BEVELC-S4"=[1]OUT_TransportEnergyCons!$A$3:$A$1000)*1,("Var_Fin"=[1]OUT_TransportEnergyCons!$B$3:$B$1000)*1,ISNUMBER(SEARCH("ELC",[1]OUT_TransportEnergyCons!$C$3:$C$1000))*1,[1]OUT_TransportEnergyCons!I$3:I$1000)</f>
        <v>1.5553349339656136E-4</v>
      </c>
    </row>
    <row r="1404" spans="2:11" x14ac:dyDescent="0.35">
      <c r="B1404" s="5" t="str">
        <f t="shared" si="834"/>
        <v>SPS2</v>
      </c>
      <c r="C1404" s="5" t="str">
        <f t="shared" si="846"/>
        <v>CH</v>
      </c>
      <c r="D1404" t="s">
        <v>1402</v>
      </c>
      <c r="E1404" t="s">
        <v>8</v>
      </c>
      <c r="F1404" s="1">
        <f>SUM(F1405:F1408)</f>
        <v>0</v>
      </c>
      <c r="G1404" s="1">
        <f t="shared" ref="G1404" si="847">SUM(G1405:G1408)</f>
        <v>0</v>
      </c>
      <c r="H1404" s="1">
        <f t="shared" ref="H1404" si="848">SUM(H1405:H1408)</f>
        <v>0</v>
      </c>
      <c r="I1404" s="1">
        <f t="shared" ref="I1404" si="849">SUM(I1405:I1408)</f>
        <v>4.7234424071214798E-5</v>
      </c>
      <c r="J1404" s="1">
        <f t="shared" ref="J1404" si="850">SUM(J1405:J1408)</f>
        <v>1.1024810700203345E-4</v>
      </c>
      <c r="K1404" s="1">
        <f t="shared" ref="K1404" si="851">SUM(K1405:K1408)</f>
        <v>1.4289790225793785E-5</v>
      </c>
    </row>
    <row r="1405" spans="2:11" x14ac:dyDescent="0.35">
      <c r="B1405" s="5" t="str">
        <f t="shared" si="834"/>
        <v>SPS2</v>
      </c>
      <c r="C1405" s="5" t="str">
        <f t="shared" si="846"/>
        <v>CH</v>
      </c>
      <c r="D1405" t="s">
        <v>1403</v>
      </c>
      <c r="E1405" t="s">
        <v>8</v>
      </c>
      <c r="F1405" s="1" cm="1">
        <f t="array" ref="F1405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5" s="1" cm="1">
        <f t="array" ref="G1405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5" s="1" cm="1">
        <f t="array" ref="H1405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5" s="1" cm="1">
        <f t="array" ref="I1405">SUMPRODUCT(("T_B_c-FCLH2O-S1"=[1]OUT_TransportEnergyCons!$A$3:$A$1000)*1,("Var_Fin"=[1]OUT_TransportEnergyCons!$B$3:$B$1000)*1,ISNUMBER(SEARCH("H2",[1]OUT_TransportEnergyCons!$C$3:$C$1000))*1,[1]OUT_TransportEnergyCons!G$3:G$1000)</f>
        <v>3.2850978234340056E-6</v>
      </c>
      <c r="J1405" s="1" cm="1">
        <f t="array" ref="J1405">SUMPRODUCT(("T_B_c-FCLH2O-S1"=[1]OUT_TransportEnergyCons!$A$3:$A$1000)*1,("Var_Fin"=[1]OUT_TransportEnergyCons!$B$3:$B$1000)*1,ISNUMBER(SEARCH("H2",[1]OUT_TransportEnergyCons!$C$3:$C$1000))*1,[1]OUT_TransportEnergyCons!H$3:H$1000)</f>
        <v>1.7810260992811961E-5</v>
      </c>
      <c r="K1405" s="1" cm="1">
        <f t="array" ref="K1405">SUMPRODUCT(("T_B_c-FCLH2O-S1"=[1]OUT_TransportEnergyCons!$A$3:$A$1000)*1,("Var_Fin"=[1]OUT_TransportEnergyCons!$B$3:$B$1000)*1,ISNUMBER(SEARCH("H2",[1]OUT_TransportEnergyCons!$C$3:$C$1000))*1,[1]OUT_TransportEnergyCons!I$3:I$1000)</f>
        <v>0</v>
      </c>
    </row>
    <row r="1406" spans="2:11" x14ac:dyDescent="0.35">
      <c r="B1406" s="5" t="str">
        <f t="shared" si="834"/>
        <v>SPS2</v>
      </c>
      <c r="C1406" s="5" t="str">
        <f t="shared" si="846"/>
        <v>CH</v>
      </c>
      <c r="D1406" t="s">
        <v>1404</v>
      </c>
      <c r="E1406" t="s">
        <v>8</v>
      </c>
      <c r="F1406" s="1" cm="1">
        <f t="array" ref="F1406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6" s="1" cm="1">
        <f t="array" ref="G1406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6" s="1" cm="1">
        <f t="array" ref="H1406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6" s="1" cm="1">
        <f t="array" ref="I1406">SUMPRODUCT(("T_B_c-FCLH2O-S2"=[1]OUT_TransportEnergyCons!$A$3:$A$1000)*1,("Var_Fin"=[1]OUT_TransportEnergyCons!$B$3:$B$1000)*1,ISNUMBER(SEARCH("H2",[1]OUT_TransportEnergyCons!$C$3:$C$1000))*1,[1]OUT_TransportEnergyCons!G$3:G$1000)</f>
        <v>9.8668449031865057E-6</v>
      </c>
      <c r="J1406" s="1" cm="1">
        <f t="array" ref="J1406">SUMPRODUCT(("T_B_c-FCLH2O-S2"=[1]OUT_TransportEnergyCons!$A$3:$A$1000)*1,("Var_Fin"=[1]OUT_TransportEnergyCons!$B$3:$B$1000)*1,ISNUMBER(SEARCH("H2",[1]OUT_TransportEnergyCons!$C$3:$C$1000))*1,[1]OUT_TransportEnergyCons!H$3:H$1000)</f>
        <v>3.5276814406943521E-5</v>
      </c>
      <c r="K1406" s="1" cm="1">
        <f t="array" ref="K1406">SUMPRODUCT(("T_B_c-FCLH2O-S2"=[1]OUT_TransportEnergyCons!$A$3:$A$1000)*1,("Var_Fin"=[1]OUT_TransportEnergyCons!$B$3:$B$1000)*1,ISNUMBER(SEARCH("H2",[1]OUT_TransportEnergyCons!$C$3:$C$1000))*1,[1]OUT_TransportEnergyCons!I$3:I$1000)</f>
        <v>1.6177865111780358E-6</v>
      </c>
    </row>
    <row r="1407" spans="2:11" x14ac:dyDescent="0.35">
      <c r="B1407" s="5" t="str">
        <f t="shared" si="834"/>
        <v>SPS2</v>
      </c>
      <c r="C1407" s="5" t="str">
        <f t="shared" si="846"/>
        <v>CH</v>
      </c>
      <c r="D1407" t="s">
        <v>1405</v>
      </c>
      <c r="E1407" t="s">
        <v>8</v>
      </c>
      <c r="F1407" s="1" cm="1">
        <f t="array" ref="F1407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SUMPRODUCT(("T_B_c-FCLH2O-S3"=[1]OUT_TransportEnergyCons!$A$3:$A$1000)*1,("Var_Fin"=[1]OUT_TransportEnergyCons!$B$3:$B$1000)*1,ISNUMBER(SEARCH("H2",[1]OUT_TransportEnergyCons!$C$3:$C$1000))*1,[1]OUT_TransportEnergyCons!G$3:G$1000)</f>
        <v>3.4082481344594286E-5</v>
      </c>
      <c r="J1407" s="1" cm="1">
        <f t="array" ref="J1407">SUMPRODUCT(("T_B_c-FCLH2O-S3"=[1]OUT_TransportEnergyCons!$A$3:$A$1000)*1,("Var_Fin"=[1]OUT_TransportEnergyCons!$B$3:$B$1000)*1,ISNUMBER(SEARCH("H2",[1]OUT_TransportEnergyCons!$C$3:$C$1000))*1,[1]OUT_TransportEnergyCons!H$3:H$1000)</f>
        <v>2.5324199151450319E-5</v>
      </c>
      <c r="K1407" s="1" cm="1">
        <f t="array" ref="K1407">SUMPRODUCT(("T_B_c-FCLH2O-S3"=[1]OUT_TransportEnergyCons!$A$3:$A$1000)*1,("Var_Fin"=[1]OUT_TransportEnergyCons!$B$3:$B$1000)*1,ISNUMBER(SEARCH("H2",[1]OUT_TransportEnergyCons!$C$3:$C$1000))*1,[1]OUT_TransportEnergyCons!I$3:I$1000)</f>
        <v>6.5327596973508353E-6</v>
      </c>
    </row>
    <row r="1408" spans="2:11" x14ac:dyDescent="0.35">
      <c r="B1408" s="5" t="str">
        <f t="shared" si="834"/>
        <v>SPS2</v>
      </c>
      <c r="C1408" s="5" t="str">
        <f t="shared" si="846"/>
        <v>CH</v>
      </c>
      <c r="D1408" t="s">
        <v>1406</v>
      </c>
      <c r="E1408" t="s">
        <v>8</v>
      </c>
      <c r="F1408" s="1" cm="1">
        <f t="array" ref="F1408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SUMPRODUCT(("T_B_c-FCLH2O-S4"=[1]OUT_TransportEnergyCons!$A$3:$A$1000)*1,("Var_Fin"=[1]OUT_TransportEnergyCons!$B$3:$B$1000)*1,ISNUMBER(SEARCH("H2",[1]OUT_TransportEnergyCons!$C$3:$C$1000))*1,[1]OUT_TransportEnergyCons!H$3:H$1000)</f>
        <v>3.1836832450827656E-5</v>
      </c>
      <c r="K1408" s="1" cm="1">
        <f t="array" ref="K1408">SUMPRODUCT(("T_B_c-FCLH2O-S4"=[1]OUT_TransportEnergyCons!$A$3:$A$1000)*1,("Var_Fin"=[1]OUT_TransportEnergyCons!$B$3:$B$1000)*1,ISNUMBER(SEARCH("H2",[1]OUT_TransportEnergyCons!$C$3:$C$1000))*1,[1]OUT_TransportEnergyCons!I$3:I$1000)</f>
        <v>6.1392440172649133E-6</v>
      </c>
    </row>
    <row r="1409" spans="2:11" x14ac:dyDescent="0.35">
      <c r="B1409" s="5" t="str">
        <f t="shared" si="834"/>
        <v>SPS2</v>
      </c>
      <c r="C1409" s="5" t="str">
        <f t="shared" si="846"/>
        <v>CH</v>
      </c>
      <c r="D1409" t="s">
        <v>1407</v>
      </c>
      <c r="E1409" t="s">
        <v>8</v>
      </c>
      <c r="F1409" s="1">
        <f>SUM(F1414:F1422)</f>
        <v>0.81221394669086988</v>
      </c>
      <c r="G1409" s="1">
        <f t="shared" ref="G1409:K1409" si="852">SUM(G1414:G1422)</f>
        <v>0.83108300541246827</v>
      </c>
      <c r="H1409" s="1">
        <f t="shared" si="852"/>
        <v>1.013561585987333</v>
      </c>
      <c r="I1409" s="1">
        <f t="shared" si="852"/>
        <v>1.6634275691281694E-4</v>
      </c>
      <c r="J1409" s="1">
        <f t="shared" si="852"/>
        <v>2.6590035899349082E-4</v>
      </c>
      <c r="K1409" s="1">
        <f t="shared" si="852"/>
        <v>1.3507110467918091E-4</v>
      </c>
    </row>
    <row r="1410" spans="2:11" x14ac:dyDescent="0.35">
      <c r="B1410" s="5" t="str">
        <f t="shared" si="834"/>
        <v>SPS2</v>
      </c>
      <c r="C1410" s="5" t="str">
        <f t="shared" si="846"/>
        <v>CH</v>
      </c>
      <c r="D1410" t="s">
        <v>1408</v>
      </c>
      <c r="E1410" t="s">
        <v>8</v>
      </c>
      <c r="F1410" s="1">
        <f>F1409-F1411</f>
        <v>0.79256861185421978</v>
      </c>
      <c r="G1410" s="1">
        <f t="shared" ref="G1410" si="853">G1409-G1411</f>
        <v>0.80942284605028814</v>
      </c>
      <c r="H1410" s="1">
        <f t="shared" ref="H1410" si="854">H1409-H1411</f>
        <v>0.96812273651167857</v>
      </c>
      <c r="I1410" s="1">
        <f t="shared" ref="I1410" si="855">I1409-I1411</f>
        <v>1.5775057754860046E-4</v>
      </c>
      <c r="J1410" s="1">
        <f t="shared" ref="J1410" si="856">J1409-J1411</f>
        <v>2.5363634129293327E-5</v>
      </c>
      <c r="K1410" s="1">
        <f t="shared" ref="K1410" si="857">K1409-K1411</f>
        <v>-3.0947586009034153E-4</v>
      </c>
    </row>
    <row r="1411" spans="2:11" x14ac:dyDescent="0.35">
      <c r="B1411" s="5" t="str">
        <f t="shared" si="834"/>
        <v>SPS2</v>
      </c>
      <c r="C1411" s="5" t="str">
        <f t="shared" si="846"/>
        <v>CH</v>
      </c>
      <c r="D1411" t="s">
        <v>1409</v>
      </c>
      <c r="E1411" t="s">
        <v>8</v>
      </c>
      <c r="F1411" s="1">
        <f>SUM(F1412:F1413)</f>
        <v>1.9645334836650059E-2</v>
      </c>
      <c r="G1411" s="1">
        <f t="shared" ref="G1411" si="858">SUM(G1412:G1413)</f>
        <v>2.1660159362180183E-2</v>
      </c>
      <c r="H1411" s="1">
        <f t="shared" ref="H1411" si="859">SUM(H1412:H1413)</f>
        <v>4.5438849475654505E-2</v>
      </c>
      <c r="I1411" s="1">
        <f t="shared" ref="I1411" si="860">SUM(I1412:I1413)</f>
        <v>8.592179364216476E-6</v>
      </c>
      <c r="J1411" s="1">
        <f t="shared" ref="J1411" si="861">SUM(J1412:J1413)</f>
        <v>2.4053672486419749E-4</v>
      </c>
      <c r="K1411" s="1">
        <f t="shared" ref="K1411" si="862">SUM(K1412:K1413)</f>
        <v>4.4454696476952245E-4</v>
      </c>
    </row>
    <row r="1412" spans="2:11" x14ac:dyDescent="0.35">
      <c r="B1412" s="5" t="str">
        <f t="shared" si="834"/>
        <v>SPS2</v>
      </c>
      <c r="C1412" s="5" t="str">
        <f t="shared" si="846"/>
        <v>CH</v>
      </c>
      <c r="D1412" t="s">
        <v>1410</v>
      </c>
      <c r="E1412" t="s">
        <v>8</v>
      </c>
      <c r="F1412" s="1">
        <f>[1]Transport!B$26/SUM([1]Transport!B$22,[1]Transport!B$26)*F1409*(F$33+F$580)/(F$33+F$580+F$36)</f>
        <v>1.9645334836650059E-2</v>
      </c>
      <c r="G1412" s="1">
        <f>[1]Transport!C$26/SUM([1]Transport!C$22,[1]Transport!C$26)*G1409*(G$33+G$580)/(G$33+G$580+G$36)</f>
        <v>2.1660159362180183E-2</v>
      </c>
      <c r="H1412" s="1">
        <f>[1]Transport!D$26/SUM([1]Transport!D$22,[1]Transport!D$26)*H1409*(H$33+H$580)/(H$33+H$580+H$36)</f>
        <v>4.5438849475654505E-2</v>
      </c>
      <c r="I1412" s="1">
        <f>[1]Transport!E$26/SUM([1]Transport!E$22,[1]Transport!E$26)*I1409*(I$33+I$580)/(I$33+I$580+I$36)</f>
        <v>8.592179364216476E-6</v>
      </c>
      <c r="J1412" s="1">
        <f>[1]Transport!F$26/SUM([1]Transport!F$22,[1]Transport!F$26)*J1409*(J$33+J$580)/(J$33+J$580+J$36)</f>
        <v>1.1955174553035874E-5</v>
      </c>
      <c r="K1412" s="1">
        <f>[1]Transport!G$26/SUM([1]Transport!G$22,[1]Transport!G$26)*K1409*(K$33+K$580)/(K$33+K$580+K$36)</f>
        <v>2.8176121994339278E-5</v>
      </c>
    </row>
    <row r="1413" spans="2:11" x14ac:dyDescent="0.35">
      <c r="B1413" s="5" t="str">
        <f t="shared" si="834"/>
        <v>SPS2</v>
      </c>
      <c r="C1413" s="5" t="str">
        <f t="shared" si="846"/>
        <v>CH</v>
      </c>
      <c r="D1413" t="s">
        <v>1411</v>
      </c>
      <c r="E1413" t="s">
        <v>8</v>
      </c>
      <c r="F1413" s="1">
        <f>(F$36+F$716)/([1]Transport!B$22+[1]Transport!B$26)*F1409</f>
        <v>0</v>
      </c>
      <c r="G1413" s="1">
        <f>(G$36+G$716)/([1]Transport!C$22+[1]Transport!C$26)*G1409</f>
        <v>0</v>
      </c>
      <c r="H1413" s="1">
        <f>(H$36+H$716)/([1]Transport!D$22+[1]Transport!D$26)*H1409</f>
        <v>0</v>
      </c>
      <c r="I1413" s="1">
        <f>(I$36+I$716)/([1]Transport!E$22+[1]Transport!E$26)*I1409</f>
        <v>0</v>
      </c>
      <c r="J1413" s="1">
        <f>(J$36+J$716)/([1]Transport!F$22+[1]Transport!F$26)*J1409</f>
        <v>2.285815503111616E-4</v>
      </c>
      <c r="K1413" s="1">
        <f>(K$36+K$716)/([1]Transport!G$22+[1]Transport!G$26)*K1409</f>
        <v>4.1637084277518319E-4</v>
      </c>
    </row>
    <row r="1414" spans="2:11" x14ac:dyDescent="0.35">
      <c r="B1414" s="5" t="str">
        <f t="shared" si="834"/>
        <v>SPS2</v>
      </c>
      <c r="C1414" s="5" t="str">
        <f t="shared" si="846"/>
        <v>CH</v>
      </c>
      <c r="D1414" t="s">
        <v>1412</v>
      </c>
      <c r="E1414" t="s">
        <v>8</v>
      </c>
      <c r="F1414" s="1" cm="1">
        <f t="array" ref="F1414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4" s="1" cm="1">
        <f t="array" ref="G1414">SUMPRODUCT(("T_B_c-HYBDSL-S1"=[1]OUT_TransportEnergyCons!$A$3:$A$1000)*1,("Var_Fin"=[1]OUT_TransportEnergyCons!$B$3:$B$1000)*1,ISNUMBER(SEARCH("DSL",[1]OUT_TransportEnergyCons!$C$3:$C$1000))*1,[1]OUT_TransportEnergyCons!E$3:E$1000)</f>
        <v>5.3494495326172221E-3</v>
      </c>
      <c r="H1414" s="1" cm="1">
        <f t="array" ref="H1414">SUMPRODUCT(("T_B_c-HYBDSL-S1"=[1]OUT_TransportEnergyCons!$A$3:$A$1000)*1,("Var_Fin"=[1]OUT_TransportEnergyCons!$B$3:$B$1000)*1,ISNUMBER(SEARCH("DSL",[1]OUT_TransportEnergyCons!$C$3:$C$1000))*1,[1]OUT_TransportEnergyCons!F$3:F$1000)</f>
        <v>6.2395625364353438E-3</v>
      </c>
      <c r="I1414" s="1" cm="1">
        <f t="array" ref="I1414">SUMPRODUCT(("T_B_c-HYBDSL-S1"=[1]OUT_TransportEnergyCons!$A$3:$A$1000)*1,("Var_Fin"=[1]OUT_TransportEnergyCons!$B$3:$B$1000)*1,ISNUMBER(SEARCH("DSL",[1]OUT_TransportEnergyCons!$C$3:$C$1000))*1,[1]OUT_TransportEnergyCons!G$3:G$1000)</f>
        <v>9.6914157914146949E-6</v>
      </c>
      <c r="J1414" s="1" cm="1">
        <f t="array" ref="J1414">SUMPRODUCT(("T_B_c-HYBDSL-S1"=[1]OUT_TransportEnergyCons!$A$3:$A$1000)*1,("Var_Fin"=[1]OUT_TransportEnergyCons!$B$3:$B$1000)*1,ISNUMBER(SEARCH("DSL",[1]OUT_TransportEnergyCons!$C$3:$C$1000))*1,[1]OUT_TransportEnergyCons!H$3:H$1000)</f>
        <v>5.3323500747031701E-5</v>
      </c>
      <c r="K1414" s="1" cm="1">
        <f t="array" ref="K1414">SUMPRODUCT(("T_B_c-HYBDSL-S1"=[1]OUT_TransportEnergyCons!$A$3:$A$1000)*1,("Var_Fin"=[1]OUT_TransportEnergyCons!$B$3:$B$1000)*1,ISNUMBER(SEARCH("DSL",[1]OUT_TransportEnergyCons!$C$3:$C$1000))*1,[1]OUT_TransportEnergyCons!I$3:I$1000)</f>
        <v>2.8277106956596317E-5</v>
      </c>
    </row>
    <row r="1415" spans="2:11" x14ac:dyDescent="0.35">
      <c r="B1415" s="5" t="str">
        <f t="shared" si="834"/>
        <v>SPS2</v>
      </c>
      <c r="C1415" s="5" t="str">
        <f t="shared" si="846"/>
        <v>CH</v>
      </c>
      <c r="D1415" t="s">
        <v>1413</v>
      </c>
      <c r="E1415" t="s">
        <v>8</v>
      </c>
      <c r="F1415" s="1" cm="1">
        <f t="array" ref="F1415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5" s="1" cm="1">
        <f t="array" ref="G1415">SUMPRODUCT(("T_B_c-HYBDSL-S2"=[1]OUT_TransportEnergyCons!$A$3:$A$1000)*1,("Var_Fin"=[1]OUT_TransportEnergyCons!$B$3:$B$1000)*1,ISNUMBER(SEARCH("DSL",[1]OUT_TransportEnergyCons!$C$3:$C$1000))*1,[1]OUT_TransportEnergyCons!E$3:E$1000)</f>
        <v>5.7713215727142511E-4</v>
      </c>
      <c r="H1415" s="1" cm="1">
        <f t="array" ref="H1415">SUMPRODUCT(("T_B_c-HYBDSL-S2"=[1]OUT_TransportEnergyCons!$A$3:$A$1000)*1,("Var_Fin"=[1]OUT_TransportEnergyCons!$B$3:$B$1000)*1,ISNUMBER(SEARCH("DSL",[1]OUT_TransportEnergyCons!$C$3:$C$1000))*1,[1]OUT_TransportEnergyCons!F$3:F$1000)</f>
        <v>1.0812106175761406E-3</v>
      </c>
      <c r="I1415" s="1" cm="1">
        <f t="array" ref="I1415">SUMPRODUCT(("T_B_c-HYBDSL-S2"=[1]OUT_TransportEnergyCons!$A$3:$A$1000)*1,("Var_Fin"=[1]OUT_TransportEnergyCons!$B$3:$B$1000)*1,ISNUMBER(SEARCH("DSL",[1]OUT_TransportEnergyCons!$C$3:$C$1000))*1,[1]OUT_TransportEnergyCons!G$3:G$1000)</f>
        <v>2.2542099050074886E-5</v>
      </c>
      <c r="J1415" s="1" cm="1">
        <f t="array" ref="J1415">SUMPRODUCT(("T_B_c-HYBDSL-S2"=[1]OUT_TransportEnergyCons!$A$3:$A$1000)*1,("Var_Fin"=[1]OUT_TransportEnergyCons!$B$3:$B$1000)*1,ISNUMBER(SEARCH("DSL",[1]OUT_TransportEnergyCons!$C$3:$C$1000))*1,[1]OUT_TransportEnergyCons!H$3:H$1000)</f>
        <v>8.0666122328330872E-5</v>
      </c>
      <c r="K1415" s="1" cm="1">
        <f t="array" ref="K1415">SUMPRODUCT(("T_B_c-HYBDSL-S2"=[1]OUT_TransportEnergyCons!$A$3:$A$1000)*1,("Var_Fin"=[1]OUT_TransportEnergyCons!$B$3:$B$1000)*1,ISNUMBER(SEARCH("DSL",[1]OUT_TransportEnergyCons!$C$3:$C$1000))*1,[1]OUT_TransportEnergyCons!I$3:I$1000)</f>
        <v>3.9429454512578349E-5</v>
      </c>
    </row>
    <row r="1416" spans="2:11" x14ac:dyDescent="0.35">
      <c r="B1416" s="5" t="str">
        <f t="shared" si="834"/>
        <v>SPS2</v>
      </c>
      <c r="C1416" s="5" t="str">
        <f t="shared" si="846"/>
        <v>CH</v>
      </c>
      <c r="D1416" t="s">
        <v>1414</v>
      </c>
      <c r="E1416" t="s">
        <v>8</v>
      </c>
      <c r="F1416" s="1" cm="1">
        <f t="array" ref="F1416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SUMPRODUCT(("T_B_c-HYBDSL-S3"=[1]OUT_TransportEnergyCons!$A$3:$A$1000)*1,("Var_Fin"=[1]OUT_TransportEnergyCons!$B$3:$B$1000)*1,ISNUMBER(SEARCH("DSL",[1]OUT_TransportEnergyCons!$C$3:$C$1000))*1,[1]OUT_TransportEnergyCons!E$3:E$1000)</f>
        <v>3.6650232036029715E-4</v>
      </c>
      <c r="H1416" s="1" cm="1">
        <f t="array" ref="H1416">SUMPRODUCT(("T_B_c-HYBDSL-S3"=[1]OUT_TransportEnergyCons!$A$3:$A$1000)*1,("Var_Fin"=[1]OUT_TransportEnergyCons!$B$3:$B$1000)*1,ISNUMBER(SEARCH("DSL",[1]OUT_TransportEnergyCons!$C$3:$C$1000))*1,[1]OUT_TransportEnergyCons!F$3:F$1000)</f>
        <v>6.5731835484038889E-4</v>
      </c>
      <c r="I1416" s="1" cm="1">
        <f t="array" ref="I1416">SUMPRODUCT(("T_B_c-HYBDSL-S3"=[1]OUT_TransportEnergyCons!$A$3:$A$1000)*1,("Var_Fin"=[1]OUT_TransportEnergyCons!$B$3:$B$1000)*1,ISNUMBER(SEARCH("DSL",[1]OUT_TransportEnergyCons!$C$3:$C$1000))*1,[1]OUT_TransportEnergyCons!G$3:G$1000)</f>
        <v>1.2853474978946435E-4</v>
      </c>
      <c r="J1416" s="1" cm="1">
        <f t="array" ref="J1416">SUMPRODUCT(("T_B_c-HYBDSL-S3"=[1]OUT_TransportEnergyCons!$A$3:$A$1000)*1,("Var_Fin"=[1]OUT_TransportEnergyCons!$B$3:$B$1000)*1,ISNUMBER(SEARCH("DSL",[1]OUT_TransportEnergyCons!$C$3:$C$1000))*1,[1]OUT_TransportEnergyCons!H$3:H$1000)</f>
        <v>8.4373986418729216E-7</v>
      </c>
      <c r="K1416" s="1" cm="1">
        <f t="array" ref="K1416">SUMPRODUCT(("T_B_c-HYBDSL-S3"=[1]OUT_TransportEnergyCons!$A$3:$A$1000)*1,("Var_Fin"=[1]OUT_TransportEnergyCons!$B$3:$B$1000)*1,ISNUMBER(SEARCH("DSL",[1]OUT_TransportEnergyCons!$C$3:$C$1000))*1,[1]OUT_TransportEnergyCons!I$3:I$1000)</f>
        <v>0</v>
      </c>
    </row>
    <row r="1417" spans="2:11" x14ac:dyDescent="0.35">
      <c r="B1417" s="5" t="str">
        <f t="shared" si="834"/>
        <v>SPS2</v>
      </c>
      <c r="C1417" s="5" t="str">
        <f t="shared" si="846"/>
        <v>CH</v>
      </c>
      <c r="D1417" t="s">
        <v>1415</v>
      </c>
      <c r="E1417" t="s">
        <v>8</v>
      </c>
      <c r="F1417" s="1" cm="1">
        <f t="array" ref="F1417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SUMPRODUCT(("T_B_c-HYBDSL-S4"=[1]OUT_TransportEnergyCons!$A$3:$A$1000)*1,("Var_Fin"=[1]OUT_TransportEnergyCons!$B$3:$B$1000)*1,ISNUMBER(SEARCH("DSL",[1]OUT_TransportEnergyCons!$C$3:$C$1000))*1,[1]OUT_TransportEnergyCons!E$3:E$1000)</f>
        <v>1.1207183863117091E-4</v>
      </c>
      <c r="H1417" s="1" cm="1">
        <f t="array" ref="H1417">SUMPRODUCT(("T_B_c-HYBDSL-S4"=[1]OUT_TransportEnergyCons!$A$3:$A$1000)*1,("Var_Fin"=[1]OUT_TransportEnergyCons!$B$3:$B$1000)*1,ISNUMBER(SEARCH("DSL",[1]OUT_TransportEnergyCons!$C$3:$C$1000))*1,[1]OUT_TransportEnergyCons!F$3:F$1000)</f>
        <v>2.0568949386195985E-4</v>
      </c>
      <c r="I1417" s="1" cm="1">
        <f t="array" ref="I1417">SUMPRODUCT(("T_B_c-HYBDSL-S4"=[1]OUT_TransportEnergyCons!$A$3:$A$1000)*1,("Var_Fin"=[1]OUT_TransportEnergyCons!$B$3:$B$1000)*1,ISNUMBER(SEARCH("DSL",[1]OUT_TransportEnergyCons!$C$3:$C$1000))*1,[1]OUT_TransportEnergyCons!G$3:G$1000)</f>
        <v>5.574492281863019E-6</v>
      </c>
      <c r="J1417" s="1" cm="1">
        <f t="array" ref="J1417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SUMPRODUCT(("T_B_c-HYBDSL-S4"=[1]OUT_TransportEnergyCons!$A$3:$A$1000)*1,("Var_Fin"=[1]OUT_TransportEnergyCons!$B$3:$B$1000)*1,ISNUMBER(SEARCH("DSL",[1]OUT_TransportEnergyCons!$C$3:$C$1000))*1,[1]OUT_TransportEnergyCons!I$3:I$1000)</f>
        <v>6.1358190920019799E-7</v>
      </c>
    </row>
    <row r="1418" spans="2:11" x14ac:dyDescent="0.35">
      <c r="B1418" s="5" t="str">
        <f t="shared" si="834"/>
        <v>SPS2</v>
      </c>
      <c r="C1418" s="5" t="str">
        <f t="shared" si="846"/>
        <v>CH</v>
      </c>
      <c r="D1418" t="s">
        <v>2116</v>
      </c>
      <c r="E1418" t="s">
        <v>8</v>
      </c>
      <c r="F1418" s="1" cm="1">
        <f t="array" ref="F1418">SUMPRODUCT(("T_B_c-ICEDSLEXT"=[1]OUT_TransportEnergyCons!$A$3:$A$1000)*1,("Var_Fin"=[1]OUT_TransportEnergyCons!$B$3:$B$1000)*1,ISNUMBER(SEARCH("DSL",[1]OUT_TransportEnergyCons!$C$3:$C$1000))*1,[1]OUT_TransportEnergyCons!D$3:D$1000)</f>
        <v>6.0266323845152353E-3</v>
      </c>
      <c r="G1418" s="1" cm="1">
        <f t="array" ref="G1418">SUMPRODUCT(("T_B_c-ICEDSLEXT"=[1]OUT_TransportEnergyCons!$A$3:$A$1000)*1,("Var_Fin"=[1]OUT_TransportEnergyCons!$B$3:$B$1000)*1,ISNUMBER(SEARCH("DSL",[1]OUT_TransportEnergyCons!$C$3:$C$1000))*1,[1]OUT_TransportEnergyCons!E$3:E$1000)</f>
        <v>6.0143425280194526E-3</v>
      </c>
      <c r="H1418" s="1" cm="1">
        <f t="array" ref="H1418">SUMPRODUCT(("T_B_c-ICEDSLEXT"=[1]OUT_TransportEnergyCons!$A$3:$A$1000)*1,("Var_Fin"=[1]OUT_TransportEnergyCons!$B$3:$B$1000)*1,ISNUMBER(SEARCH("DSL",[1]OUT_TransportEnergyCons!$C$3:$C$1000))*1,[1]OUT_TransportEnergyCons!F$3:F$1000)</f>
        <v>5.9702207497898873E-3</v>
      </c>
      <c r="I1418" s="1" cm="1">
        <f t="array" ref="I1418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SUMPRODUCT(("T_B_c-ICEDSLEXT"=[1]OUT_TransportEnergyCons!$A$3:$A$1000)*1,("Var_Fin"=[1]OUT_TransportEnergyCons!$B$3:$B$1000)*1,ISNUMBER(SEARCH("DSL",[1]OUT_TransportEnergyCons!$C$3:$C$1000))*1,[1]OUT_TransportEnergyCons!I$3:I$1000)</f>
        <v>0</v>
      </c>
    </row>
    <row r="1419" spans="2:11" x14ac:dyDescent="0.35">
      <c r="B1419" s="5" t="str">
        <f t="shared" si="834"/>
        <v>SPS2</v>
      </c>
      <c r="C1419" s="5" t="str">
        <f t="shared" si="846"/>
        <v>CH</v>
      </c>
      <c r="D1419" t="s">
        <v>1416</v>
      </c>
      <c r="E1419" t="s">
        <v>8</v>
      </c>
      <c r="F1419" s="1" cm="1">
        <f t="array" ref="F1419">SUMPRODUCT(("T_B_c-ICEDSL-S1"=[1]OUT_TransportEnergyCons!$A$3:$A$1000)*1,("Var_Fin"=[1]OUT_TransportEnergyCons!$B$3:$B$1000)*1,ISNUMBER(SEARCH("DSL",[1]OUT_TransportEnergyCons!$C$3:$C$1000))*1,[1]OUT_TransportEnergyCons!D$3:D$1000)</f>
        <v>0.11301257289084783</v>
      </c>
      <c r="G1419" s="1" cm="1">
        <f t="array" ref="G1419">SUMPRODUCT(("T_B_c-ICEDSL-S1"=[1]OUT_TransportEnergyCons!$A$3:$A$1000)*1,("Var_Fin"=[1]OUT_TransportEnergyCons!$B$3:$B$1000)*1,ISNUMBER(SEARCH("DSL",[1]OUT_TransportEnergyCons!$C$3:$C$1000))*1,[1]OUT_TransportEnergyCons!E$3:E$1000)</f>
        <v>0.29759563533741773</v>
      </c>
      <c r="H1419" s="1" cm="1">
        <f t="array" ref="H1419">SUMPRODUCT(("T_B_c-ICEDSL-S1"=[1]OUT_TransportEnergyCons!$A$3:$A$1000)*1,("Var_Fin"=[1]OUT_TransportEnergyCons!$B$3:$B$1000)*1,ISNUMBER(SEARCH("DSL",[1]OUT_TransportEnergyCons!$C$3:$C$1000))*1,[1]OUT_TransportEnergyCons!F$3:F$1000)</f>
        <v>0.3584730487214049</v>
      </c>
      <c r="I1419" s="1" cm="1">
        <f t="array" ref="I1419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SUMPRODUCT(("T_B_c-ICEDSL-S1"=[1]OUT_TransportEnergyCons!$A$3:$A$1000)*1,("Var_Fin"=[1]OUT_TransportEnergyCons!$B$3:$B$1000)*1,ISNUMBER(SEARCH("DSL",[1]OUT_TransportEnergyCons!$C$3:$C$1000))*1,[1]OUT_TransportEnergyCons!H$3:H$1000)</f>
        <v>5.1560280400282367E-5</v>
      </c>
      <c r="K1419" s="1" cm="1">
        <f t="array" ref="K1419">SUMPRODUCT(("T_B_c-ICEDSL-S1"=[1]OUT_TransportEnergyCons!$A$3:$A$1000)*1,("Var_Fin"=[1]OUT_TransportEnergyCons!$B$3:$B$1000)*1,ISNUMBER(SEARCH("DSL",[1]OUT_TransportEnergyCons!$C$3:$C$1000))*1,[1]OUT_TransportEnergyCons!I$3:I$1000)</f>
        <v>2.8651023513182599E-5</v>
      </c>
    </row>
    <row r="1420" spans="2:11" x14ac:dyDescent="0.35">
      <c r="B1420" s="5" t="str">
        <f t="shared" si="834"/>
        <v>SPS2</v>
      </c>
      <c r="C1420" s="5" t="str">
        <f t="shared" si="846"/>
        <v>CH</v>
      </c>
      <c r="D1420" t="s">
        <v>1417</v>
      </c>
      <c r="E1420" t="s">
        <v>8</v>
      </c>
      <c r="F1420" s="1" cm="1">
        <f t="array" ref="F1420">SUMPRODUCT(("T_B_c-ICEDSL-S2"=[1]OUT_TransportEnergyCons!$A$3:$A$1000)*1,("Var_Fin"=[1]OUT_TransportEnergyCons!$B$3:$B$1000)*1,ISNUMBER(SEARCH("DSL",[1]OUT_TransportEnergyCons!$C$3:$C$1000))*1,[1]OUT_TransportEnergyCons!D$3:D$1000)</f>
        <v>0.51853594207166231</v>
      </c>
      <c r="G1420" s="1" cm="1">
        <f t="array" ref="G1420">SUMPRODUCT(("T_B_c-ICEDSL-S2"=[1]OUT_TransportEnergyCons!$A$3:$A$1000)*1,("Var_Fin"=[1]OUT_TransportEnergyCons!$B$3:$B$1000)*1,ISNUMBER(SEARCH("DSL",[1]OUT_TransportEnergyCons!$C$3:$C$1000))*1,[1]OUT_TransportEnergyCons!E$3:E$1000)</f>
        <v>0.39353618861804701</v>
      </c>
      <c r="H1420" s="1" cm="1">
        <f t="array" ref="H1420">SUMPRODUCT(("T_B_c-ICEDSL-S2"=[1]OUT_TransportEnergyCons!$A$3:$A$1000)*1,("Var_Fin"=[1]OUT_TransportEnergyCons!$B$3:$B$1000)*1,ISNUMBER(SEARCH("DSL",[1]OUT_TransportEnergyCons!$C$3:$C$1000))*1,[1]OUT_TransportEnergyCons!F$3:F$1000)</f>
        <v>0.48456325726829974</v>
      </c>
      <c r="I1420" s="1" cm="1">
        <f t="array" ref="I1420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SUMPRODUCT(("T_B_c-ICEDSL-S2"=[1]OUT_TransportEnergyCons!$A$3:$A$1000)*1,("Var_Fin"=[1]OUT_TransportEnergyCons!$B$3:$B$1000)*1,ISNUMBER(SEARCH("DSL",[1]OUT_TransportEnergyCons!$C$3:$C$1000))*1,[1]OUT_TransportEnergyCons!H$3:H$1000)</f>
        <v>7.9506715653658575E-5</v>
      </c>
      <c r="K1420" s="1" cm="1">
        <f t="array" ref="K1420">SUMPRODUCT(("T_B_c-ICEDSL-S2"=[1]OUT_TransportEnergyCons!$A$3:$A$1000)*1,("Var_Fin"=[1]OUT_TransportEnergyCons!$B$3:$B$1000)*1,ISNUMBER(SEARCH("DSL",[1]OUT_TransportEnergyCons!$C$3:$C$1000))*1,[1]OUT_TransportEnergyCons!I$3:I$1000)</f>
        <v>3.8099937787623444E-5</v>
      </c>
    </row>
    <row r="1421" spans="2:11" x14ac:dyDescent="0.35">
      <c r="B1421" s="5" t="str">
        <f t="shared" si="834"/>
        <v>SPS2</v>
      </c>
      <c r="C1421" s="5" t="str">
        <f t="shared" si="846"/>
        <v>CH</v>
      </c>
      <c r="D1421" t="s">
        <v>1418</v>
      </c>
      <c r="E1421" t="s">
        <v>8</v>
      </c>
      <c r="F1421" s="1" cm="1">
        <f t="array" ref="F1421">SUMPRODUCT(("T_B_c-ICEDSL-S3"=[1]OUT_TransportEnergyCons!$A$3:$A$1000)*1,("Var_Fin"=[1]OUT_TransportEnergyCons!$B$3:$B$1000)*1,ISNUMBER(SEARCH("DSL",[1]OUT_TransportEnergyCons!$C$3:$C$1000))*1,[1]OUT_TransportEnergyCons!D$3:D$1000)</f>
        <v>0.15679515731041532</v>
      </c>
      <c r="G1421" s="1" cm="1">
        <f t="array" ref="G1421">SUMPRODUCT(("T_B_c-ICEDSL-S3"=[1]OUT_TransportEnergyCons!$A$3:$A$1000)*1,("Var_Fin"=[1]OUT_TransportEnergyCons!$B$3:$B$1000)*1,ISNUMBER(SEARCH("DSL",[1]OUT_TransportEnergyCons!$C$3:$C$1000))*1,[1]OUT_TransportEnergyCons!E$3:E$1000)</f>
        <v>0.12635227368155288</v>
      </c>
      <c r="H1421" s="1" cm="1">
        <f t="array" ref="H1421">SUMPRODUCT(("T_B_c-ICEDSL-S3"=[1]OUT_TransportEnergyCons!$A$3:$A$1000)*1,("Var_Fin"=[1]OUT_TransportEnergyCons!$B$3:$B$1000)*1,ISNUMBER(SEARCH("DSL",[1]OUT_TransportEnergyCons!$C$3:$C$1000))*1,[1]OUT_TransportEnergyCons!F$3:F$1000)</f>
        <v>0.15484823853810706</v>
      </c>
      <c r="I1421" s="1" cm="1">
        <f t="array" ref="I1421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SUMPRODUCT(("T_B_c-ICEDSL-S3"=[1]OUT_TransportEnergyCons!$A$3:$A$1000)*1,("Var_Fin"=[1]OUT_TransportEnergyCons!$B$3:$B$1000)*1,ISNUMBER(SEARCH("DSL",[1]OUT_TransportEnergyCons!$C$3:$C$1000))*1,[1]OUT_TransportEnergyCons!I$3:I$1000)</f>
        <v>0</v>
      </c>
    </row>
    <row r="1422" spans="2:11" x14ac:dyDescent="0.35">
      <c r="B1422" s="5" t="str">
        <f t="shared" si="834"/>
        <v>SPS2</v>
      </c>
      <c r="C1422" s="5" t="str">
        <f t="shared" si="846"/>
        <v>CH</v>
      </c>
      <c r="D1422" t="s">
        <v>1419</v>
      </c>
      <c r="E1422" t="s">
        <v>8</v>
      </c>
      <c r="F1422" s="1" cm="1">
        <f t="array" ref="F1422">SUMPRODUCT(("T_B_c-ICEDSL-S4"=[1]OUT_TransportEnergyCons!$A$3:$A$1000)*1,("Var_Fin"=[1]OUT_TransportEnergyCons!$B$3:$B$1000)*1,ISNUMBER(SEARCH("DSL",[1]OUT_TransportEnergyCons!$C$3:$C$1000))*1,[1]OUT_TransportEnergyCons!D$3:D$1000)</f>
        <v>1.7843642033429263E-2</v>
      </c>
      <c r="G1422" s="1" cm="1">
        <f t="array" ref="G1422">SUMPRODUCT(("T_B_c-ICEDSL-S4"=[1]OUT_TransportEnergyCons!$A$3:$A$1000)*1,("Var_Fin"=[1]OUT_TransportEnergyCons!$B$3:$B$1000)*1,ISNUMBER(SEARCH("DSL",[1]OUT_TransportEnergyCons!$C$3:$C$1000))*1,[1]OUT_TransportEnergyCons!E$3:E$1000)</f>
        <v>1.179409398550968E-3</v>
      </c>
      <c r="H1422" s="1" cm="1">
        <f t="array" ref="H1422">SUMPRODUCT(("T_B_c-ICEDSL-S4"=[1]OUT_TransportEnergyCons!$A$3:$A$1000)*1,("Var_Fin"=[1]OUT_TransportEnergyCons!$B$3:$B$1000)*1,ISNUMBER(SEARCH("DSL",[1]OUT_TransportEnergyCons!$C$3:$C$1000))*1,[1]OUT_TransportEnergyCons!F$3:F$1000)</f>
        <v>1.5230397070175395E-3</v>
      </c>
      <c r="I1422" s="1" cm="1">
        <f t="array" ref="I1422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SUMPRODUCT(("T_B_c-ICEDSL-S4"=[1]OUT_TransportEnergyCons!$A$3:$A$1000)*1,("Var_Fin"=[1]OUT_TransportEnergyCons!$B$3:$B$1000)*1,ISNUMBER(SEARCH("DSL",[1]OUT_TransportEnergyCons!$C$3:$C$1000))*1,[1]OUT_TransportEnergyCons!I$3:I$1000)</f>
        <v>0</v>
      </c>
    </row>
    <row r="1423" spans="2:11" x14ac:dyDescent="0.35">
      <c r="B1423" s="5" t="str">
        <f t="shared" si="834"/>
        <v>SPS2</v>
      </c>
      <c r="C1423" s="5" t="str">
        <f t="shared" si="846"/>
        <v>CH</v>
      </c>
      <c r="D1423" t="s">
        <v>1420</v>
      </c>
      <c r="E1423" t="s">
        <v>8</v>
      </c>
      <c r="F1423" s="1">
        <f>SUM(F1428:F1432)</f>
        <v>1.3811568947598701E-4</v>
      </c>
      <c r="G1423" s="1">
        <f t="shared" ref="G1423" si="863">SUM(G1428:G1432)</f>
        <v>3.8681184738384141E-3</v>
      </c>
      <c r="H1423" s="1">
        <f t="shared" ref="H1423" si="864">SUM(H1428:H1432)</f>
        <v>7.1754876291972832E-3</v>
      </c>
      <c r="I1423" s="1">
        <f t="shared" ref="I1423" si="865">SUM(I1428:I1432)</f>
        <v>2.9054709841953192E-5</v>
      </c>
      <c r="J1423" s="1">
        <f t="shared" ref="J1423" si="866">SUM(J1428:J1432)</f>
        <v>7.7605685340288778E-5</v>
      </c>
      <c r="K1423" s="1">
        <f t="shared" ref="K1423" si="867">SUM(K1428:K1432)</f>
        <v>2.1194154253029018E-5</v>
      </c>
    </row>
    <row r="1424" spans="2:11" x14ac:dyDescent="0.35">
      <c r="B1424" s="5" t="str">
        <f t="shared" si="834"/>
        <v>SPS2</v>
      </c>
      <c r="C1424" s="5" t="str">
        <f t="shared" si="846"/>
        <v>CH</v>
      </c>
      <c r="D1424" t="s">
        <v>1421</v>
      </c>
      <c r="E1424" t="s">
        <v>8</v>
      </c>
      <c r="F1424" s="1">
        <f>F1423-F1425</f>
        <v>1.2758863518495711E-4</v>
      </c>
      <c r="G1424" s="1">
        <f t="shared" ref="G1424" si="868">G1423-G1425</f>
        <v>3.4956504002718824E-3</v>
      </c>
      <c r="H1424" s="1">
        <f t="shared" ref="H1424" si="869">H1423-H1425</f>
        <v>6.4992943178282248E-3</v>
      </c>
      <c r="I1424" s="1">
        <f t="shared" ref="I1424" si="870">I1423-I1425</f>
        <v>2.4235401855330771E-5</v>
      </c>
      <c r="J1424" s="1">
        <f t="shared" ref="J1424" si="871">J1423-J1425</f>
        <v>-9.1029071718738058E-2</v>
      </c>
      <c r="K1424" s="1">
        <f t="shared" ref="K1424" si="872">K1423-K1425</f>
        <v>-0.36701299018118555</v>
      </c>
    </row>
    <row r="1425" spans="2:11" x14ac:dyDescent="0.35">
      <c r="B1425" s="5" t="str">
        <f t="shared" si="834"/>
        <v>SPS2</v>
      </c>
      <c r="C1425" s="5" t="str">
        <f t="shared" si="846"/>
        <v>CH</v>
      </c>
      <c r="D1425" t="s">
        <v>1422</v>
      </c>
      <c r="E1425" t="s">
        <v>8</v>
      </c>
      <c r="F1425" s="1">
        <f>SUM(F1426:F1427)</f>
        <v>1.0527054291029898E-5</v>
      </c>
      <c r="G1425" s="1">
        <f t="shared" ref="G1425" si="873">SUM(G1426:G1427)</f>
        <v>3.7246807356653187E-4</v>
      </c>
      <c r="H1425" s="1">
        <f t="shared" ref="H1425" si="874">SUM(H1426:H1427)</f>
        <v>6.7619331136905831E-4</v>
      </c>
      <c r="I1425" s="1">
        <f t="shared" ref="I1425" si="875">SUM(I1426:I1427)</f>
        <v>4.8193079866224207E-6</v>
      </c>
      <c r="J1425" s="1">
        <f t="shared" ref="J1425" si="876">SUM(J1426:J1427)</f>
        <v>9.1106677404078351E-2</v>
      </c>
      <c r="K1425" s="1">
        <f t="shared" ref="K1425" si="877">SUM(K1426:K1427)</f>
        <v>0.36703418433543855</v>
      </c>
    </row>
    <row r="1426" spans="2:11" x14ac:dyDescent="0.35">
      <c r="B1426" s="5" t="str">
        <f t="shared" si="834"/>
        <v>SPS2</v>
      </c>
      <c r="C1426" s="5" t="str">
        <f t="shared" si="846"/>
        <v>CH</v>
      </c>
      <c r="D1426" t="s">
        <v>1423</v>
      </c>
      <c r="E1426" t="s">
        <v>8</v>
      </c>
      <c r="F1426" s="1">
        <f>[1]Transport!B$27/SUM([1]Transport!B$24,[1]Transport!B$27)*F1423*(F$45+F$612)/(F$45+F$612+F$47)</f>
        <v>1.0527054291029898E-5</v>
      </c>
      <c r="G1426" s="1">
        <f>[1]Transport!C$27/SUM([1]Transport!C$24,[1]Transport!C$27)*G1423*(G$45+G$612)/(G$45+G$612+G$47)</f>
        <v>3.7246807356653187E-4</v>
      </c>
      <c r="H1426" s="1">
        <f>[1]Transport!D$27/SUM([1]Transport!D$24,[1]Transport!D$27)*H1423*(H$45+H$612)/(H$45+H$612+H$47)</f>
        <v>6.7619331136905831E-4</v>
      </c>
      <c r="I1426" s="1">
        <f>[1]Transport!E$27/SUM([1]Transport!E$24,[1]Transport!E$27)*I1423*(I$45+I$612)/(I$45+I$612+I$47)</f>
        <v>4.8193079866224207E-6</v>
      </c>
      <c r="J1426" s="1">
        <f>[1]Transport!F$27/SUM([1]Transport!F$24,[1]Transport!F$27)*J1423*(J$45+J$612)/(J$45+J$612+J$47)</f>
        <v>2.1489078598968876E-5</v>
      </c>
      <c r="K1426" s="1">
        <f>[1]Transport!G$27/SUM([1]Transport!G$24,[1]Transport!G$27)*K1423*(K$45+K$612)/(K$45+K$612+K$47)</f>
        <v>1.0446478043573728E-5</v>
      </c>
    </row>
    <row r="1427" spans="2:11" x14ac:dyDescent="0.35">
      <c r="B1427" s="5" t="str">
        <f t="shared" si="834"/>
        <v>SPS2</v>
      </c>
      <c r="C1427" s="5" t="str">
        <f t="shared" si="846"/>
        <v>CH</v>
      </c>
      <c r="D1427" t="s">
        <v>1424</v>
      </c>
      <c r="E1427" t="s">
        <v>8</v>
      </c>
      <c r="F1427" s="1">
        <f>(F$47+F$714)/([1]Transport!B$24+[1]Transport!B$27)*F1423</f>
        <v>0</v>
      </c>
      <c r="G1427" s="1">
        <f>(G$47+G$714)/([1]Transport!C$24+[1]Transport!C$27)*G1423</f>
        <v>0</v>
      </c>
      <c r="H1427" s="1">
        <f>(H$47+H$714)/([1]Transport!D$24+[1]Transport!D$27)*H1423</f>
        <v>0</v>
      </c>
      <c r="I1427" s="1">
        <f>(I$47+I$714)/([1]Transport!E$24+[1]Transport!E$27)*I1423</f>
        <v>0</v>
      </c>
      <c r="J1427" s="1">
        <f>(J$47+J$714)/([1]Transport!F$24+[1]Transport!F$27)*J1423</f>
        <v>9.1085188325479377E-2</v>
      </c>
      <c r="K1427" s="1">
        <f>(K$47+K$714)/([1]Transport!G$24+[1]Transport!G$27)*K1423</f>
        <v>0.367023737857395</v>
      </c>
    </row>
    <row r="1428" spans="2:11" x14ac:dyDescent="0.35">
      <c r="B1428" s="5" t="str">
        <f t="shared" si="834"/>
        <v>SPS2</v>
      </c>
      <c r="C1428" s="5" t="str">
        <f t="shared" si="846"/>
        <v>CH</v>
      </c>
      <c r="D1428" t="s">
        <v>2119</v>
      </c>
      <c r="E1428" t="s">
        <v>8</v>
      </c>
      <c r="F1428" s="1" cm="1">
        <f t="array" ref="F1428">SUMPRODUCT(("T_B_c-ICEngaEXT"=[1]OUT_TransportEnergyCons!$A$3:$A$1000)*1,("Var_Fin"=[1]OUT_TransportEnergyCons!$B$3:$B$1000)*1,ISNUMBER(SEARCH("nga",[1]OUT_TransportEnergyCons!$C$3:$C$1000))*1,[1]OUT_TransportEnergyCons!D$3:D$1000)</f>
        <v>1.3811568947598701E-4</v>
      </c>
      <c r="G1428" s="1" cm="1">
        <f t="array" ref="G1428">SUMPRODUCT(("T_B_c-ICEngaEXT"=[1]OUT_TransportEnergyCons!$A$3:$A$1000)*1,("Var_Fin"=[1]OUT_TransportEnergyCons!$B$3:$B$1000)*1,ISNUMBER(SEARCH("nga",[1]OUT_TransportEnergyCons!$C$3:$C$1000))*1,[1]OUT_TransportEnergyCons!E$3:E$1000)</f>
        <v>1.4025099105910194E-4</v>
      </c>
      <c r="H1428" s="1" cm="1">
        <f t="array" ref="H1428">SUMPRODUCT(("T_B_c-ICEngaEXT"=[1]OUT_TransportEnergyCons!$A$3:$A$1000)*1,("Var_Fin"=[1]OUT_TransportEnergyCons!$B$3:$B$1000)*1,ISNUMBER(SEARCH("nga",[1]OUT_TransportEnergyCons!$C$3:$C$1000))*1,[1]OUT_TransportEnergyCons!F$3:F$1000)</f>
        <v>1.3834899640786458E-4</v>
      </c>
      <c r="I1428" s="1" cm="1">
        <f t="array" ref="I1428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28" s="1" cm="1">
        <f t="array" ref="J1428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28" s="1" cm="1">
        <f t="array" ref="K1428">SUMPRODUCT(("T_B_c-ICEngaEXT"=[1]OUT_TransportEnergyCons!$A$3:$A$1000)*1,("Var_Fin"=[1]OUT_TransportEnergyCons!$B$3:$B$1000)*1,ISNUMBER(SEARCH("nga",[1]OUT_TransportEnergyCons!$C$3:$C$1000))*1,[1]OUT_TransportEnergyCons!I$3:I$1000)</f>
        <v>0</v>
      </c>
    </row>
    <row r="1429" spans="2:11" x14ac:dyDescent="0.35">
      <c r="B1429" s="5" t="str">
        <f t="shared" si="834"/>
        <v>SPS2</v>
      </c>
      <c r="C1429" s="5" t="str">
        <f t="shared" si="846"/>
        <v>CH</v>
      </c>
      <c r="D1429" t="s">
        <v>1425</v>
      </c>
      <c r="E1429" t="s">
        <v>8</v>
      </c>
      <c r="F1429" s="1" cm="1">
        <f t="array" ref="F1429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29" s="1" cm="1">
        <f t="array" ref="G1429">SUMPRODUCT(("T_B_c-ICEnga-S1"=[1]OUT_TransportEnergyCons!$A$3:$A$1000)*1,("Var_Fin"=[1]OUT_TransportEnergyCons!$B$3:$B$1000)*1,ISNUMBER(SEARCH("nga",[1]OUT_TransportEnergyCons!$C$3:$C$1000))*1,[1]OUT_TransportEnergyCons!E$3:E$1000)</f>
        <v>2.6238978712327561E-3</v>
      </c>
      <c r="H1429" s="1" cm="1">
        <f t="array" ref="H1429">SUMPRODUCT(("T_B_c-ICEnga-S1"=[1]OUT_TransportEnergyCons!$A$3:$A$1000)*1,("Var_Fin"=[1]OUT_TransportEnergyCons!$B$3:$B$1000)*1,ISNUMBER(SEARCH("nga",[1]OUT_TransportEnergyCons!$C$3:$C$1000))*1,[1]OUT_TransportEnergyCons!F$3:F$1000)</f>
        <v>4.0808886890488297E-3</v>
      </c>
      <c r="I1429" s="1" cm="1">
        <f t="array" ref="I1429">SUMPRODUCT(("T_B_c-ICEnga-S1"=[1]OUT_TransportEnergyCons!$A$3:$A$1000)*1,("Var_Fin"=[1]OUT_TransportEnergyCons!$B$3:$B$1000)*1,ISNUMBER(SEARCH("nga",[1]OUT_TransportEnergyCons!$C$3:$C$1000))*1,[1]OUT_TransportEnergyCons!G$3:G$1000)</f>
        <v>1.484172622459516E-5</v>
      </c>
      <c r="J1429" s="1" cm="1">
        <f t="array" ref="J1429">SUMPRODUCT(("T_B_c-ICEnga-S1"=[1]OUT_TransportEnergyCons!$A$3:$A$1000)*1,("Var_Fin"=[1]OUT_TransportEnergyCons!$B$3:$B$1000)*1,ISNUMBER(SEARCH("nga",[1]OUT_TransportEnergyCons!$C$3:$C$1000))*1,[1]OUT_TransportEnergyCons!H$3:H$1000)</f>
        <v>2.7083523607866448E-5</v>
      </c>
      <c r="K1429" s="1" cm="1">
        <f t="array" ref="K1429">SUMPRODUCT(("T_B_c-ICEnga-S1"=[1]OUT_TransportEnergyCons!$A$3:$A$1000)*1,("Var_Fin"=[1]OUT_TransportEnergyCons!$B$3:$B$1000)*1,ISNUMBER(SEARCH("nga",[1]OUT_TransportEnergyCons!$C$3:$C$1000))*1,[1]OUT_TransportEnergyCons!I$3:I$1000)</f>
        <v>7.3290328413915355E-6</v>
      </c>
    </row>
    <row r="1430" spans="2:11" x14ac:dyDescent="0.35">
      <c r="B1430" s="5" t="str">
        <f t="shared" si="834"/>
        <v>SPS2</v>
      </c>
      <c r="C1430" s="5" t="str">
        <f t="shared" si="846"/>
        <v>CH</v>
      </c>
      <c r="D1430" t="s">
        <v>1426</v>
      </c>
      <c r="E1430" t="s">
        <v>8</v>
      </c>
      <c r="F1430" s="1" cm="1">
        <f t="array" ref="F1430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0" s="1" cm="1">
        <f t="array" ref="G1430">SUMPRODUCT(("T_B_c-ICEnga-S2"=[1]OUT_TransportEnergyCons!$A$3:$A$1000)*1,("Var_Fin"=[1]OUT_TransportEnergyCons!$B$3:$B$1000)*1,ISNUMBER(SEARCH("nga",[1]OUT_TransportEnergyCons!$C$3:$C$1000))*1,[1]OUT_TransportEnergyCons!E$3:E$1000)</f>
        <v>5.764612312772903E-4</v>
      </c>
      <c r="H1430" s="1" cm="1">
        <f t="array" ref="H1430">SUMPRODUCT(("T_B_c-ICEnga-S2"=[1]OUT_TransportEnergyCons!$A$3:$A$1000)*1,("Var_Fin"=[1]OUT_TransportEnergyCons!$B$3:$B$1000)*1,ISNUMBER(SEARCH("nga",[1]OUT_TransportEnergyCons!$C$3:$C$1000))*1,[1]OUT_TransportEnergyCons!F$3:F$1000)</f>
        <v>1.6162809000618431E-3</v>
      </c>
      <c r="I1430" s="1" cm="1">
        <f t="array" ref="I1430">SUMPRODUCT(("T_B_c-ICEnga-S2"=[1]OUT_TransportEnergyCons!$A$3:$A$1000)*1,("Var_Fin"=[1]OUT_TransportEnergyCons!$B$3:$B$1000)*1,ISNUMBER(SEARCH("nga",[1]OUT_TransportEnergyCons!$C$3:$C$1000))*1,[1]OUT_TransportEnergyCons!G$3:G$1000)</f>
        <v>1.4212983617358034E-5</v>
      </c>
      <c r="J1430" s="1" cm="1">
        <f t="array" ref="J1430">SUMPRODUCT(("T_B_c-ICEnga-S2"=[1]OUT_TransportEnergyCons!$A$3:$A$1000)*1,("Var_Fin"=[1]OUT_TransportEnergyCons!$B$3:$B$1000)*1,ISNUMBER(SEARCH("nga",[1]OUT_TransportEnergyCons!$C$3:$C$1000))*1,[1]OUT_TransportEnergyCons!H$3:H$1000)</f>
        <v>4.2352190068242426E-5</v>
      </c>
      <c r="K1430" s="1" cm="1">
        <f t="array" ref="K1430">SUMPRODUCT(("T_B_c-ICEnga-S2"=[1]OUT_TransportEnergyCons!$A$3:$A$1000)*1,("Var_Fin"=[1]OUT_TransportEnergyCons!$B$3:$B$1000)*1,ISNUMBER(SEARCH("nga",[1]OUT_TransportEnergyCons!$C$3:$C$1000))*1,[1]OUT_TransportEnergyCons!I$3:I$1000)</f>
        <v>1.3865121411637482E-5</v>
      </c>
    </row>
    <row r="1431" spans="2:11" x14ac:dyDescent="0.35">
      <c r="B1431" s="5" t="str">
        <f t="shared" si="834"/>
        <v>SPS2</v>
      </c>
      <c r="C1431" s="5" t="str">
        <f t="shared" si="846"/>
        <v>CH</v>
      </c>
      <c r="D1431" t="s">
        <v>1427</v>
      </c>
      <c r="E1431" t="s">
        <v>8</v>
      </c>
      <c r="F1431" s="1" cm="1">
        <f t="array" ref="F1431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SUMPRODUCT(("T_B_c-ICEnga-S3"=[1]OUT_TransportEnergyCons!$A$3:$A$1000)*1,("Var_Fin"=[1]OUT_TransportEnergyCons!$B$3:$B$1000)*1,ISNUMBER(SEARCH("nga",[1]OUT_TransportEnergyCons!$C$3:$C$1000))*1,[1]OUT_TransportEnergyCons!E$3:E$1000)</f>
        <v>4.1749584638786522E-4</v>
      </c>
      <c r="H1431" s="1" cm="1">
        <f t="array" ref="H1431">SUMPRODUCT(("T_B_c-ICEnga-S3"=[1]OUT_TransportEnergyCons!$A$3:$A$1000)*1,("Var_Fin"=[1]OUT_TransportEnergyCons!$B$3:$B$1000)*1,ISNUMBER(SEARCH("nga",[1]OUT_TransportEnergyCons!$C$3:$C$1000))*1,[1]OUT_TransportEnergyCons!F$3:F$1000)</f>
        <v>1.0768638985017176E-3</v>
      </c>
      <c r="I1431" s="1" cm="1">
        <f t="array" ref="I1431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SUMPRODUCT(("T_B_c-ICEnga-S3"=[1]OUT_TransportEnergyCons!$A$3:$A$1000)*1,("Var_Fin"=[1]OUT_TransportEnergyCons!$B$3:$B$1000)*1,ISNUMBER(SEARCH("nga",[1]OUT_TransportEnergyCons!$C$3:$C$1000))*1,[1]OUT_TransportEnergyCons!H$3:H$1000)</f>
        <v>5.6250436327049663E-6</v>
      </c>
      <c r="K1431" s="1" cm="1">
        <f t="array" ref="K1431">SUMPRODUCT(("T_B_c-ICEnga-S3"=[1]OUT_TransportEnergyCons!$A$3:$A$1000)*1,("Var_Fin"=[1]OUT_TransportEnergyCons!$B$3:$B$1000)*1,ISNUMBER(SEARCH("nga",[1]OUT_TransportEnergyCons!$C$3:$C$1000))*1,[1]OUT_TransportEnergyCons!I$3:I$1000)</f>
        <v>0</v>
      </c>
    </row>
    <row r="1432" spans="2:11" x14ac:dyDescent="0.35">
      <c r="B1432" s="5" t="str">
        <f t="shared" si="834"/>
        <v>SPS2</v>
      </c>
      <c r="C1432" s="5" t="str">
        <f t="shared" si="846"/>
        <v>CH</v>
      </c>
      <c r="D1432" t="s">
        <v>1428</v>
      </c>
      <c r="E1432" t="s">
        <v>8</v>
      </c>
      <c r="F1432" s="1" cm="1">
        <f t="array" ref="F1432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SUMPRODUCT(("T_B_c-ICEnga-S4"=[1]OUT_TransportEnergyCons!$A$3:$A$1000)*1,("Var_Fin"=[1]OUT_TransportEnergyCons!$B$3:$B$1000)*1,ISNUMBER(SEARCH("nga",[1]OUT_TransportEnergyCons!$C$3:$C$1000))*1,[1]OUT_TransportEnergyCons!E$3:E$1000)</f>
        <v>1.1001253388140107E-4</v>
      </c>
      <c r="H1432" s="1" cm="1">
        <f t="array" ref="H1432">SUMPRODUCT(("T_B_c-ICEnga-S4"=[1]OUT_TransportEnergyCons!$A$3:$A$1000)*1,("Var_Fin"=[1]OUT_TransportEnergyCons!$B$3:$B$1000)*1,ISNUMBER(SEARCH("nga",[1]OUT_TransportEnergyCons!$C$3:$C$1000))*1,[1]OUT_TransportEnergyCons!F$3:F$1000)</f>
        <v>2.6310514517702906E-4</v>
      </c>
      <c r="I1432" s="1" cm="1">
        <f t="array" ref="I1432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SUMPRODUCT(("T_B_c-ICEnga-S4"=[1]OUT_TransportEnergyCons!$A$3:$A$1000)*1,("Var_Fin"=[1]OUT_TransportEnergyCons!$B$3:$B$1000)*1,ISNUMBER(SEARCH("nga",[1]OUT_TransportEnergyCons!$C$3:$C$1000))*1,[1]OUT_TransportEnergyCons!H$3:H$1000)</f>
        <v>2.5449280314749501E-6</v>
      </c>
      <c r="K1432" s="1" cm="1">
        <f t="array" ref="K1432">SUMPRODUCT(("T_B_c-ICEnga-S4"=[1]OUT_TransportEnergyCons!$A$3:$A$1000)*1,("Var_Fin"=[1]OUT_TransportEnergyCons!$B$3:$B$1000)*1,ISNUMBER(SEARCH("nga",[1]OUT_TransportEnergyCons!$C$3:$C$1000))*1,[1]OUT_TransportEnergyCons!I$3:I$1000)</f>
        <v>0</v>
      </c>
    </row>
    <row r="1433" spans="2:11" x14ac:dyDescent="0.35">
      <c r="B1433" s="5" t="str">
        <f t="shared" si="834"/>
        <v>SPS2</v>
      </c>
      <c r="C1433" s="5" t="str">
        <f>C1432</f>
        <v>CH</v>
      </c>
      <c r="D1433" s="2" t="s">
        <v>1393</v>
      </c>
      <c r="E1433" s="2" t="s">
        <v>1132</v>
      </c>
      <c r="F1433" s="3">
        <f>SUM(F1434:F1456)</f>
        <v>0.13105839604663955</v>
      </c>
      <c r="G1433" s="3">
        <f t="shared" ref="G1433" si="878">SUM(G1434:G1456)</f>
        <v>0.13169292682238368</v>
      </c>
      <c r="H1433" s="3">
        <f t="shared" ref="H1433" si="879">SUM(H1434:H1456)</f>
        <v>0.1327377388892218</v>
      </c>
      <c r="I1433" s="3">
        <f t="shared" ref="I1433" si="880">SUM(I1434:I1456)</f>
        <v>0.13441288217002087</v>
      </c>
      <c r="J1433" s="3">
        <f t="shared" ref="J1433" si="881">SUM(J1434:J1456)</f>
        <v>0.13475317545426707</v>
      </c>
      <c r="K1433" s="3">
        <f t="shared" ref="K1433" si="882">SUM(K1434:K1456)</f>
        <v>0.13114250624289606</v>
      </c>
    </row>
    <row r="1434" spans="2:11" x14ac:dyDescent="0.35">
      <c r="B1434" s="5" t="str">
        <f t="shared" si="834"/>
        <v>SPS2</v>
      </c>
      <c r="C1434" s="5" t="str">
        <f>C1433</f>
        <v>CH</v>
      </c>
      <c r="D1434" t="s">
        <v>1429</v>
      </c>
      <c r="E1434" t="str">
        <f>E1433</f>
        <v>billion km/yr.</v>
      </c>
      <c r="F1434" s="1" cm="1">
        <f t="array" ref="F1434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4" s="1" cm="1">
        <f t="array" ref="G1434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4" s="1" cm="1">
        <f t="array" ref="H1434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4" s="1" cm="1">
        <f t="array" ref="I1434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4" s="1" cm="1">
        <f t="array" ref="J1434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4" s="1" cm="1">
        <f t="array" ref="K1434">SUMPRODUCT(("T_B_c-BeVELCEXT"=[1]OUT_TransportEnergyCons!$A$3:$A$1000)*1,("var_fout"=[1]OUT_TransportEnergyCons!$B$3:$B$1000)*1,ISNUMBER(SEARCH("TPBSc",[1]OUT_TransportEnergyCons!$C$3:$C$1000))*1,[1]OUT_TransportEnergyCons!I$3:I$1000)</f>
        <v>0</v>
      </c>
    </row>
    <row r="1435" spans="2:11" x14ac:dyDescent="0.35">
      <c r="B1435" s="5" t="str">
        <f t="shared" si="834"/>
        <v>SPS2</v>
      </c>
      <c r="C1435" s="5" t="str">
        <f t="shared" ref="C1435:C1456" si="883">C1434</f>
        <v>CH</v>
      </c>
      <c r="D1435" t="s">
        <v>1430</v>
      </c>
      <c r="E1435" t="str">
        <f t="shared" ref="E1435:E1456" si="884">E1434</f>
        <v>billion km/yr.</v>
      </c>
      <c r="F1435" s="1" cm="1">
        <f t="array" ref="F1435">SUMPRODUCT(("T_B_c-BEVELC-S1"=[1]OUT_TransportEnergyCons!$A$3:$A$1000)*1,("var_fout"=[1]OUT_TransportEnergyCons!$B$3:$B$1000)*1,ISNUMBER(SEARCH("TPBSc",[1]OUT_TransportEnergyCons!$C$3:$C$1000))*1,[1]OUT_TransportEnergyCons!D$3:D$1000)</f>
        <v>1.6041614982487948E-4</v>
      </c>
      <c r="G1435" s="1" cm="1">
        <f t="array" ref="G1435">SUMPRODUCT(("T_B_c-BEVELC-S1"=[1]OUT_TransportEnergyCons!$A$3:$A$1000)*1,("var_fout"=[1]OUT_TransportEnergyCons!$B$3:$B$1000)*1,ISNUMBER(SEARCH("TPBSc",[1]OUT_TransportEnergyCons!$C$3:$C$1000))*1,[1]OUT_TransportEnergyCons!E$3:E$1000)</f>
        <v>8.1563401143269515E-4</v>
      </c>
      <c r="H1435" s="1" cm="1">
        <f t="array" ref="H1435">SUMPRODUCT(("T_B_c-BEVELC-S1"=[1]OUT_TransportEnergyCons!$A$3:$A$1000)*1,("var_fout"=[1]OUT_TransportEnergyCons!$B$3:$B$1000)*1,ISNUMBER(SEARCH("TPBSc",[1]OUT_TransportEnergyCons!$C$3:$C$1000))*1,[1]OUT_TransportEnergyCons!F$3:F$1000)</f>
        <v>1.5770050729450198E-3</v>
      </c>
      <c r="I1435" s="1" cm="1">
        <f t="array" ref="I1435">SUMPRODUCT(("T_B_c-BEVELC-S1"=[1]OUT_TransportEnergyCons!$A$3:$A$1000)*1,("var_fout"=[1]OUT_TransportEnergyCons!$B$3:$B$1000)*1,ISNUMBER(SEARCH("TPBSc",[1]OUT_TransportEnergyCons!$C$3:$C$1000))*1,[1]OUT_TransportEnergyCons!G$3:G$1000)</f>
        <v>6.4701797937257499E-2</v>
      </c>
      <c r="J1435" s="1" cm="1">
        <f t="array" ref="J1435">SUMPRODUCT(("T_B_c-BEVELC-S1"=[1]OUT_TransportEnergyCons!$A$3:$A$1000)*1,("var_fout"=[1]OUT_TransportEnergyCons!$B$3:$B$1000)*1,ISNUMBER(SEARCH("TPBSc",[1]OUT_TransportEnergyCons!$C$3:$C$1000))*1,[1]OUT_TransportEnergyCons!H$3:H$1000)</f>
        <v>6.4789132383778952E-2</v>
      </c>
      <c r="K1435" s="1" cm="1">
        <f t="array" ref="K1435">SUMPRODUCT(("T_B_c-BEVELC-S1"=[1]OUT_TransportEnergyCons!$A$3:$A$1000)*1,("var_fout"=[1]OUT_TransportEnergyCons!$B$3:$B$1000)*1,ISNUMBER(SEARCH("TPBSc",[1]OUT_TransportEnergyCons!$C$3:$C$1000))*1,[1]OUT_TransportEnergyCons!I$3:I$1000)</f>
        <v>6.3114844440483972E-2</v>
      </c>
    </row>
    <row r="1436" spans="2:11" x14ac:dyDescent="0.35">
      <c r="B1436" s="5" t="str">
        <f t="shared" si="834"/>
        <v>SPS2</v>
      </c>
      <c r="C1436" s="5" t="str">
        <f t="shared" si="883"/>
        <v>CH</v>
      </c>
      <c r="D1436" t="s">
        <v>1431</v>
      </c>
      <c r="E1436" t="str">
        <f t="shared" si="884"/>
        <v>billion km/yr.</v>
      </c>
      <c r="F1436" s="1" cm="1">
        <f t="array" ref="F1436">SUMPRODUCT(("T_B_c-BEVELC-S2"=[1]OUT_TransportEnergyCons!$A$3:$A$1000)*1,("var_fout"=[1]OUT_TransportEnergyCons!$B$3:$B$1000)*1,ISNUMBER(SEARCH("TPBSc",[1]OUT_TransportEnergyCons!$C$3:$C$1000))*1,[1]OUT_TransportEnergyCons!D$3:D$1000)</f>
        <v>3.3765189706061243E-4</v>
      </c>
      <c r="G1436" s="1" cm="1">
        <f t="array" ref="G1436">SUMPRODUCT(("T_B_c-BEVELC-S2"=[1]OUT_TransportEnergyCons!$A$3:$A$1000)*1,("var_fout"=[1]OUT_TransportEnergyCons!$B$3:$B$1000)*1,ISNUMBER(SEARCH("TPBSc",[1]OUT_TransportEnergyCons!$C$3:$C$1000))*1,[1]OUT_TransportEnergyCons!E$3:E$1000)</f>
        <v>5.9885820624973817E-4</v>
      </c>
      <c r="H1436" s="1" cm="1">
        <f t="array" ref="H1436">SUMPRODUCT(("T_B_c-BEVELC-S2"=[1]OUT_TransportEnergyCons!$A$3:$A$1000)*1,("var_fout"=[1]OUT_TransportEnergyCons!$B$3:$B$1000)*1,ISNUMBER(SEARCH("TPBSc",[1]OUT_TransportEnergyCons!$C$3:$C$1000))*1,[1]OUT_TransportEnergyCons!F$3:F$1000)</f>
        <v>7.7606328697674728E-4</v>
      </c>
      <c r="I1436" s="1" cm="1">
        <f t="array" ref="I1436">SUMPRODUCT(("T_B_c-BEVELC-S2"=[1]OUT_TransportEnergyCons!$A$3:$A$1000)*1,("var_fout"=[1]OUT_TransportEnergyCons!$B$3:$B$1000)*1,ISNUMBER(SEARCH("TPBSc",[1]OUT_TransportEnergyCons!$C$3:$C$1000))*1,[1]OUT_TransportEnergyCons!G$3:G$1000)</f>
        <v>5.7405297602543828E-2</v>
      </c>
      <c r="J1436" s="1" cm="1">
        <f t="array" ref="J1436">SUMPRODUCT(("T_B_c-BEVELC-S2"=[1]OUT_TransportEnergyCons!$A$3:$A$1000)*1,("var_fout"=[1]OUT_TransportEnergyCons!$B$3:$B$1000)*1,ISNUMBER(SEARCH("TPBSc",[1]OUT_TransportEnergyCons!$C$3:$C$1000))*1,[1]OUT_TransportEnergyCons!H$3:H$1000)</f>
        <v>5.7524491339529804E-2</v>
      </c>
      <c r="K1436" s="1" cm="1">
        <f t="array" ref="K1436">SUMPRODUCT(("T_B_c-BEVELC-S2"=[1]OUT_TransportEnergyCons!$A$3:$A$1000)*1,("var_fout"=[1]OUT_TransportEnergyCons!$B$3:$B$1000)*1,ISNUMBER(SEARCH("TPBSc",[1]OUT_TransportEnergyCons!$C$3:$C$1000))*1,[1]OUT_TransportEnergyCons!I$3:I$1000)</f>
        <v>5.5999247518787529E-2</v>
      </c>
    </row>
    <row r="1437" spans="2:11" x14ac:dyDescent="0.35">
      <c r="B1437" s="5" t="str">
        <f t="shared" si="834"/>
        <v>SPS2</v>
      </c>
      <c r="C1437" s="5" t="str">
        <f t="shared" si="883"/>
        <v>CH</v>
      </c>
      <c r="D1437" t="s">
        <v>1432</v>
      </c>
      <c r="E1437" t="str">
        <f t="shared" si="884"/>
        <v>billion km/yr.</v>
      </c>
      <c r="F1437" s="1" cm="1">
        <f t="array" ref="F1437">SUMPRODUCT(("T_B_c-BEVELC-S3"=[1]OUT_TransportEnergyCons!$A$3:$A$1000)*1,("var_fout"=[1]OUT_TransportEnergyCons!$B$3:$B$1000)*1,ISNUMBER(SEARCH("TPBSc",[1]OUT_TransportEnergyCons!$C$3:$C$1000))*1,[1]OUT_TransportEnergyCons!D$3:D$1000)</f>
        <v>8.5137016765084148E-5</v>
      </c>
      <c r="G1437" s="1" cm="1">
        <f t="array" ref="G1437">SUMPRODUCT(("T_B_c-BEVELC-S3"=[1]OUT_TransportEnergyCons!$A$3:$A$1000)*1,("var_fout"=[1]OUT_TransportEnergyCons!$B$3:$B$1000)*1,ISNUMBER(SEARCH("TPBSc",[1]OUT_TransportEnergyCons!$C$3:$C$1000))*1,[1]OUT_TransportEnergyCons!E$3:E$1000)</f>
        <v>1.4458851502090962E-4</v>
      </c>
      <c r="H1437" s="1" cm="1">
        <f t="array" ref="H1437">SUMPRODUCT(("T_B_c-BEVELC-S3"=[1]OUT_TransportEnergyCons!$A$3:$A$1000)*1,("var_fout"=[1]OUT_TransportEnergyCons!$B$3:$B$1000)*1,ISNUMBER(SEARCH("TPBSc",[1]OUT_TransportEnergyCons!$C$3:$C$1000))*1,[1]OUT_TransportEnergyCons!F$3:F$1000)</f>
        <v>2.0318894683884505E-4</v>
      </c>
      <c r="I1437" s="1" cm="1">
        <f t="array" ref="I1437">SUMPRODUCT(("T_B_c-BEVELC-S3"=[1]OUT_TransportEnergyCons!$A$3:$A$1000)*1,("var_fout"=[1]OUT_TransportEnergyCons!$B$3:$B$1000)*1,ISNUMBER(SEARCH("TPBSc",[1]OUT_TransportEnergyCons!$C$3:$C$1000))*1,[1]OUT_TransportEnergyCons!G$3:G$1000)</f>
        <v>1.2260437567312064E-2</v>
      </c>
      <c r="J1437" s="1" cm="1">
        <f t="array" ref="J1437">SUMPRODUCT(("T_B_c-BEVELC-S3"=[1]OUT_TransportEnergyCons!$A$3:$A$1000)*1,("var_fout"=[1]OUT_TransportEnergyCons!$B$3:$B$1000)*1,ISNUMBER(SEARCH("TPBSc",[1]OUT_TransportEnergyCons!$C$3:$C$1000))*1,[1]OUT_TransportEnergyCons!H$3:H$1000)</f>
        <v>1.2299711204107593E-2</v>
      </c>
      <c r="K1437" s="1" cm="1">
        <f t="array" ref="K1437">SUMPRODUCT(("T_B_c-BEVELC-S3"=[1]OUT_TransportEnergyCons!$A$3:$A$1000)*1,("var_fout"=[1]OUT_TransportEnergyCons!$B$3:$B$1000)*1,ISNUMBER(SEARCH("TPBSc",[1]OUT_TransportEnergyCons!$C$3:$C$1000))*1,[1]OUT_TransportEnergyCons!I$3:I$1000)</f>
        <v>1.1977010369128255E-2</v>
      </c>
    </row>
    <row r="1438" spans="2:11" x14ac:dyDescent="0.35">
      <c r="B1438" s="5" t="str">
        <f t="shared" si="834"/>
        <v>SPS2</v>
      </c>
      <c r="C1438" s="5" t="str">
        <f t="shared" si="883"/>
        <v>CH</v>
      </c>
      <c r="D1438" t="s">
        <v>1433</v>
      </c>
      <c r="E1438" t="str">
        <f t="shared" si="884"/>
        <v>billion km/yr.</v>
      </c>
      <c r="F1438" s="1" cm="1">
        <f t="array" ref="F1438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38" s="1" cm="1">
        <f t="array" ref="G1438">SUMPRODUCT(("T_B_c-BEVELC-S4"=[1]OUT_TransportEnergyCons!$A$3:$A$1000)*1,("var_fout"=[1]OUT_TransportEnergyCons!$B$3:$B$1000)*1,ISNUMBER(SEARCH("TPBSc",[1]OUT_TransportEnergyCons!$C$3:$C$1000))*1,[1]OUT_TransportEnergyCons!E$3:E$1000)</f>
        <v>2.2004970605552831E-5</v>
      </c>
      <c r="H1438" s="1" cm="1">
        <f t="array" ref="H1438">SUMPRODUCT(("T_B_c-BEVELC-S4"=[1]OUT_TransportEnergyCons!$A$3:$A$1000)*1,("var_fout"=[1]OUT_TransportEnergyCons!$B$3:$B$1000)*1,ISNUMBER(SEARCH("TPBSc",[1]OUT_TransportEnergyCons!$C$3:$C$1000))*1,[1]OUT_TransportEnergyCons!F$3:F$1000)</f>
        <v>3.5483490352426156E-5</v>
      </c>
      <c r="I1438" s="1" cm="1">
        <f t="array" ref="I1438">SUMPRODUCT(("T_B_c-BEVELC-S4"=[1]OUT_TransportEnergyCons!$A$3:$A$1000)*1,("var_fout"=[1]OUT_TransportEnergyCons!$B$3:$B$1000)*1,ISNUMBER(SEARCH("TPBSc",[1]OUT_TransportEnergyCons!$C$3:$C$1000))*1,[1]OUT_TransportEnergyCons!G$3:G$1000)</f>
        <v>2.0508999249757707E-5</v>
      </c>
      <c r="J1438" s="1" cm="1">
        <f t="array" ref="J1438">SUMPRODUCT(("T_B_c-BEVELC-S4"=[1]OUT_TransportEnergyCons!$A$3:$A$1000)*1,("var_fout"=[1]OUT_TransportEnergyCons!$B$3:$B$1000)*1,ISNUMBER(SEARCH("TPBSc",[1]OUT_TransportEnergyCons!$C$3:$C$1000))*1,[1]OUT_TransportEnergyCons!H$3:H$1000)</f>
        <v>7.3386843721684049E-5</v>
      </c>
      <c r="K1438" s="1" cm="1">
        <f t="array" ref="K1438">SUMPRODUCT(("T_B_c-BEVELC-S4"=[1]OUT_TransportEnergyCons!$A$3:$A$1000)*1,("var_fout"=[1]OUT_TransportEnergyCons!$B$3:$B$1000)*1,ISNUMBER(SEARCH("TPBSc",[1]OUT_TransportEnergyCons!$C$3:$C$1000))*1,[1]OUT_TransportEnergyCons!I$3:I$1000)</f>
        <v>2.6555659987857791E-5</v>
      </c>
    </row>
    <row r="1439" spans="2:11" x14ac:dyDescent="0.35">
      <c r="B1439" s="5" t="str">
        <f t="shared" si="834"/>
        <v>SPS2</v>
      </c>
      <c r="C1439" s="5" t="str">
        <f t="shared" si="883"/>
        <v>CH</v>
      </c>
      <c r="D1439" t="s">
        <v>1434</v>
      </c>
      <c r="E1439" t="str">
        <f t="shared" si="884"/>
        <v>billion km/yr.</v>
      </c>
      <c r="F1439" s="1" cm="1">
        <f t="array" ref="F1439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39" s="1" cm="1">
        <f t="array" ref="G1439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39" s="1" cm="1">
        <f t="array" ref="H1439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39" s="1" cm="1">
        <f t="array" ref="I1439">SUMPRODUCT(("T_B_c-FCLH2O-S1"=[1]OUT_TransportEnergyCons!$A$3:$A$1000)*1,("var_fout"=[1]OUT_TransportEnergyCons!$B$3:$B$1000)*1,ISNUMBER(SEARCH("TPBSc",[1]OUT_TransportEnergyCons!$C$3:$C$1000))*1,[1]OUT_TransportEnergyCons!G$3:G$1000)</f>
        <v>7.7003271731575994E-7</v>
      </c>
      <c r="J1439" s="1" cm="1">
        <f t="array" ref="J1439">SUMPRODUCT(("T_B_c-FCLH2O-S1"=[1]OUT_TransportEnergyCons!$A$3:$A$1000)*1,("var_fout"=[1]OUT_TransportEnergyCons!$B$3:$B$1000)*1,ISNUMBER(SEARCH("TPBSc",[1]OUT_TransportEnergyCons!$C$3:$C$1000))*1,[1]OUT_TransportEnergyCons!H$3:H$1000)</f>
        <v>4.6334936487562687E-6</v>
      </c>
      <c r="K1439" s="1" cm="1">
        <f t="array" ref="K1439">SUMPRODUCT(("T_B_c-FCLH2O-S1"=[1]OUT_TransportEnergyCons!$A$3:$A$1000)*1,("var_fout"=[1]OUT_TransportEnergyCons!$B$3:$B$1000)*1,ISNUMBER(SEARCH("TPBSc",[1]OUT_TransportEnergyCons!$C$3:$C$1000))*1,[1]OUT_TransportEnergyCons!I$3:I$1000)</f>
        <v>0</v>
      </c>
    </row>
    <row r="1440" spans="2:11" x14ac:dyDescent="0.35">
      <c r="B1440" s="5" t="str">
        <f t="shared" si="834"/>
        <v>SPS2</v>
      </c>
      <c r="C1440" s="5" t="str">
        <f t="shared" si="883"/>
        <v>CH</v>
      </c>
      <c r="D1440" t="s">
        <v>1435</v>
      </c>
      <c r="E1440" t="str">
        <f t="shared" si="884"/>
        <v>billion km/yr.</v>
      </c>
      <c r="F1440" s="1" cm="1">
        <f t="array" ref="F1440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0" s="1" cm="1">
        <f t="array" ref="H1440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0" s="1" cm="1">
        <f t="array" ref="I1440">SUMPRODUCT(("T_B_c-FCLH2O-S2"=[1]OUT_TransportEnergyCons!$A$3:$A$1000)*1,("var_fout"=[1]OUT_TransportEnergyCons!$B$3:$B$1000)*1,ISNUMBER(SEARCH("TPBSc",[1]OUT_TransportEnergyCons!$C$3:$C$1000))*1,[1]OUT_TransportEnergyCons!G$3:G$1000)</f>
        <v>1.668498416569006E-6</v>
      </c>
      <c r="J1440" s="1" cm="1">
        <f t="array" ref="J1440">SUMPRODUCT(("T_B_c-FCLH2O-S2"=[1]OUT_TransportEnergyCons!$A$3:$A$1000)*1,("var_fout"=[1]OUT_TransportEnergyCons!$B$3:$B$1000)*1,ISNUMBER(SEARCH("TPBSc",[1]OUT_TransportEnergyCons!$C$3:$C$1000))*1,[1]OUT_TransportEnergyCons!H$3:H$1000)</f>
        <v>6.5107653158633511E-6</v>
      </c>
      <c r="K1440" s="1" cm="1">
        <f t="array" ref="K1440">SUMPRODUCT(("T_B_c-FCLH2O-S2"=[1]OUT_TransportEnergyCons!$A$3:$A$1000)*1,("var_fout"=[1]OUT_TransportEnergyCons!$B$3:$B$1000)*1,ISNUMBER(SEARCH("TPBSc",[1]OUT_TransportEnergyCons!$C$3:$C$1000))*1,[1]OUT_TransportEnergyCons!I$3:I$1000)</f>
        <v>3.0872605921695641E-7</v>
      </c>
    </row>
    <row r="1441" spans="2:11" x14ac:dyDescent="0.35">
      <c r="B1441" s="5" t="str">
        <f t="shared" si="834"/>
        <v>SPS2</v>
      </c>
      <c r="C1441" s="5" t="str">
        <f t="shared" si="883"/>
        <v>CH</v>
      </c>
      <c r="D1441" t="s">
        <v>1436</v>
      </c>
      <c r="E1441" t="str">
        <f t="shared" si="884"/>
        <v>billion km/yr.</v>
      </c>
      <c r="F1441" s="1" cm="1">
        <f t="array" ref="F1441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SUMPRODUCT(("T_B_c-FCLH2O-S3"=[1]OUT_TransportEnergyCons!$A$3:$A$1000)*1,("var_fout"=[1]OUT_TransportEnergyCons!$B$3:$B$1000)*1,ISNUMBER(SEARCH("TPBSc",[1]OUT_TransportEnergyCons!$C$3:$C$1000))*1,[1]OUT_TransportEnergyCons!G$3:G$1000)</f>
        <v>3.8550146389119837E-6</v>
      </c>
      <c r="J1441" s="1" cm="1">
        <f t="array" ref="J1441">SUMPRODUCT(("T_B_c-FCLH2O-S3"=[1]OUT_TransportEnergyCons!$A$3:$A$1000)*1,("var_fout"=[1]OUT_TransportEnergyCons!$B$3:$B$1000)*1,ISNUMBER(SEARCH("TPBSc",[1]OUT_TransportEnergyCons!$C$3:$C$1000))*1,[1]OUT_TransportEnergyCons!H$3:H$1000)</f>
        <v>3.2173447834365938E-6</v>
      </c>
      <c r="K1441" s="1" cm="1">
        <f t="array" ref="K1441">SUMPRODUCT(("T_B_c-FCLH2O-S3"=[1]OUT_TransportEnergyCons!$A$3:$A$1000)*1,("var_fout"=[1]OUT_TransportEnergyCons!$B$3:$B$1000)*1,ISNUMBER(SEARCH("TPBSc",[1]OUT_TransportEnergyCons!$C$3:$C$1000))*1,[1]OUT_TransportEnergyCons!I$3:I$1000)</f>
        <v>9.0354582112428398E-7</v>
      </c>
    </row>
    <row r="1442" spans="2:11" x14ac:dyDescent="0.35">
      <c r="B1442" s="5" t="str">
        <f t="shared" si="834"/>
        <v>SPS2</v>
      </c>
      <c r="C1442" s="5" t="str">
        <f t="shared" si="883"/>
        <v>CH</v>
      </c>
      <c r="D1442" t="s">
        <v>1437</v>
      </c>
      <c r="E1442" t="str">
        <f t="shared" si="884"/>
        <v>billion km/yr.</v>
      </c>
      <c r="F1442" s="1" cm="1">
        <f t="array" ref="F1442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SUMPRODUCT(("T_B_c-FCLH2O-S4"=[1]OUT_TransportEnergyCons!$A$3:$A$1000)*1,("var_fout"=[1]OUT_TransportEnergyCons!$B$3:$B$1000)*1,ISNUMBER(SEARCH("TPBSc",[1]OUT_TransportEnergyCons!$C$3:$C$1000))*1,[1]OUT_TransportEnergyCons!H$3:H$1000)</f>
        <v>2.663887365370869E-6</v>
      </c>
      <c r="K1442" s="1" cm="1">
        <f t="array" ref="K1442">SUMPRODUCT(("T_B_c-FCLH2O-S4"=[1]OUT_TransportEnergyCons!$A$3:$A$1000)*1,("var_fout"=[1]OUT_TransportEnergyCons!$B$3:$B$1000)*1,ISNUMBER(SEARCH("TPBSc",[1]OUT_TransportEnergyCons!$C$3:$C$1000))*1,[1]OUT_TransportEnergyCons!I$3:I$1000)</f>
        <v>5.351897804581316E-7</v>
      </c>
    </row>
    <row r="1443" spans="2:11" x14ac:dyDescent="0.35">
      <c r="B1443" s="5" t="str">
        <f t="shared" si="834"/>
        <v>SPS2</v>
      </c>
      <c r="C1443" s="5" t="str">
        <f t="shared" si="883"/>
        <v>CH</v>
      </c>
      <c r="D1443" t="s">
        <v>1438</v>
      </c>
      <c r="E1443" t="str">
        <f t="shared" si="884"/>
        <v>billion km/yr.</v>
      </c>
      <c r="F1443" s="1" cm="1">
        <f t="array" ref="F1443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SUMPRODUCT(("T_B_c-HYBDSL-S1"=[1]OUT_TransportEnergyCons!$A$3:$A$1000)*1,("var_fout"=[1]OUT_TransportEnergyCons!$B$3:$B$1000)*1,ISNUMBER(SEARCH("TPBSc",[1]OUT_TransportEnergyCons!$C$3:$C$1000))*1,[1]OUT_TransportEnergyCons!E$3:E$1000)</f>
        <v>8.693588348443527E-4</v>
      </c>
      <c r="H1443" s="1" cm="1">
        <f t="array" ref="H1443">SUMPRODUCT(("T_B_c-HYBDSL-S1"=[1]OUT_TransportEnergyCons!$A$3:$A$1000)*1,("var_fout"=[1]OUT_TransportEnergyCons!$B$3:$B$1000)*1,ISNUMBER(SEARCH("TPBSc",[1]OUT_TransportEnergyCons!$C$3:$C$1000))*1,[1]OUT_TransportEnergyCons!F$3:F$1000)</f>
        <v>1.0219771203458102E-3</v>
      </c>
      <c r="I1443" s="1" cm="1">
        <f t="array" ref="I1443">SUMPRODUCT(("T_B_c-HYBDSL-S1"=[1]OUT_TransportEnergyCons!$A$3:$A$1000)*1,("var_fout"=[1]OUT_TransportEnergyCons!$B$3:$B$1000)*1,ISNUMBER(SEARCH("TPBSc",[1]OUT_TransportEnergyCons!$C$3:$C$1000))*1,[1]OUT_TransportEnergyCons!G$3:G$1000)</f>
        <v>1.7019730903712875E-6</v>
      </c>
      <c r="J1443" s="1" cm="1">
        <f t="array" ref="J1443">SUMPRODUCT(("T_B_c-HYBDSL-S1"=[1]OUT_TransportEnergyCons!$A$3:$A$1000)*1,("var_fout"=[1]OUT_TransportEnergyCons!$B$3:$B$1000)*1,ISNUMBER(SEARCH("TPBSc",[1]OUT_TransportEnergyCons!$C$3:$C$1000))*1,[1]OUT_TransportEnergyCons!H$3:H$1000)</f>
        <v>1.0912570037734643E-5</v>
      </c>
      <c r="K1443" s="1" cm="1">
        <f t="array" ref="K1443">SUMPRODUCT(("T_B_c-HYBDSL-S1"=[1]OUT_TransportEnergyCons!$A$3:$A$1000)*1,("var_fout"=[1]OUT_TransportEnergyCons!$B$3:$B$1000)*1,ISNUMBER(SEARCH("TPBSc",[1]OUT_TransportEnergyCons!$C$3:$C$1000))*1,[1]OUT_TransportEnergyCons!I$3:I$1000)</f>
        <v>5.7445528023478558E-6</v>
      </c>
    </row>
    <row r="1444" spans="2:11" x14ac:dyDescent="0.35">
      <c r="B1444" s="5" t="str">
        <f t="shared" si="834"/>
        <v>SPS2</v>
      </c>
      <c r="C1444" s="5" t="str">
        <f t="shared" si="883"/>
        <v>CH</v>
      </c>
      <c r="D1444" t="s">
        <v>1439</v>
      </c>
      <c r="E1444" t="str">
        <f t="shared" si="884"/>
        <v>billion km/yr.</v>
      </c>
      <c r="F1444" s="1" cm="1">
        <f t="array" ref="F1444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SUMPRODUCT(("T_B_c-HYBDSL-S2"=[1]OUT_TransportEnergyCons!$A$3:$A$1000)*1,("var_fout"=[1]OUT_TransportEnergyCons!$B$3:$B$1000)*1,ISNUMBER(SEARCH("TPBSc",[1]OUT_TransportEnergyCons!$C$3:$C$1000))*1,[1]OUT_TransportEnergyCons!E$3:E$1000)</f>
        <v>6.7232395644745965E-5</v>
      </c>
      <c r="H1444" s="1" cm="1">
        <f t="array" ref="H1444">SUMPRODUCT(("T_B_c-HYBDSL-S2"=[1]OUT_TransportEnergyCons!$A$3:$A$1000)*1,("var_fout"=[1]OUT_TransportEnergyCons!$B$3:$B$1000)*1,ISNUMBER(SEARCH("TPBSc",[1]OUT_TransportEnergyCons!$C$3:$C$1000))*1,[1]OUT_TransportEnergyCons!F$3:F$1000)</f>
        <v>1.2883426398991332E-4</v>
      </c>
      <c r="I1444" s="1" cm="1">
        <f t="array" ref="I1444">SUMPRODUCT(("T_B_c-HYBDSL-S2"=[1]OUT_TransportEnergyCons!$A$3:$A$1000)*1,("var_fout"=[1]OUT_TransportEnergyCons!$B$3:$B$1000)*1,ISNUMBER(SEARCH("TPBSc",[1]OUT_TransportEnergyCons!$C$3:$C$1000))*1,[1]OUT_TransportEnergyCons!G$3:G$1000)</f>
        <v>2.7845169340393481E-6</v>
      </c>
      <c r="J1444" s="1" cm="1">
        <f t="array" ref="J1444">SUMPRODUCT(("T_B_c-HYBDSL-S2"=[1]OUT_TransportEnergyCons!$A$3:$A$1000)*1,("var_fout"=[1]OUT_TransportEnergyCons!$B$3:$B$1000)*1,ISNUMBER(SEARCH("TPBSc",[1]OUT_TransportEnergyCons!$C$3:$C$1000))*1,[1]OUT_TransportEnergyCons!H$3:H$1000)</f>
        <v>1.1831472024609301E-5</v>
      </c>
      <c r="K1444" s="1" cm="1">
        <f t="array" ref="K1444">SUMPRODUCT(("T_B_c-HYBDSL-S2"=[1]OUT_TransportEnergyCons!$A$3:$A$1000)*1,("var_fout"=[1]OUT_TransportEnergyCons!$B$3:$B$1000)*1,ISNUMBER(SEARCH("TPBSc",[1]OUT_TransportEnergyCons!$C$3:$C$1000))*1,[1]OUT_TransportEnergyCons!I$3:I$1000)</f>
        <v>5.7786760961579563E-6</v>
      </c>
    </row>
    <row r="1445" spans="2:11" x14ac:dyDescent="0.35">
      <c r="B1445" s="5" t="str">
        <f t="shared" si="834"/>
        <v>SPS2</v>
      </c>
      <c r="C1445" s="5" t="str">
        <f t="shared" si="883"/>
        <v>CH</v>
      </c>
      <c r="D1445" t="s">
        <v>1440</v>
      </c>
      <c r="E1445" t="str">
        <f t="shared" si="884"/>
        <v>billion km/yr.</v>
      </c>
      <c r="F1445" s="1" cm="1">
        <f t="array" ref="F1445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SUMPRODUCT(("T_B_c-HYBDSL-S3"=[1]OUT_TransportEnergyCons!$A$3:$A$1000)*1,("var_fout"=[1]OUT_TransportEnergyCons!$B$3:$B$1000)*1,ISNUMBER(SEARCH("TPBSc",[1]OUT_TransportEnergyCons!$C$3:$C$1000))*1,[1]OUT_TransportEnergyCons!E$3:E$1000)</f>
        <v>2.867361255762765E-5</v>
      </c>
      <c r="H1445" s="1" cm="1">
        <f t="array" ref="H1445">SUMPRODUCT(("T_B_c-HYBDSL-S3"=[1]OUT_TransportEnergyCons!$A$3:$A$1000)*1,("var_fout"=[1]OUT_TransportEnergyCons!$B$3:$B$1000)*1,ISNUMBER(SEARCH("TPBSc",[1]OUT_TransportEnergyCons!$C$3:$C$1000))*1,[1]OUT_TransportEnergyCons!F$3:F$1000)</f>
        <v>5.2539892934652515E-5</v>
      </c>
      <c r="I1445" s="1" cm="1">
        <f t="array" ref="I1445">SUMPRODUCT(("T_B_c-HYBDSL-S3"=[1]OUT_TransportEnergyCons!$A$3:$A$1000)*1,("var_fout"=[1]OUT_TransportEnergyCons!$B$3:$B$1000)*1,ISNUMBER(SEARCH("TPBSc",[1]OUT_TransportEnergyCons!$C$3:$C$1000))*1,[1]OUT_TransportEnergyCons!G$3:G$1000)</f>
        <v>1.0549425347611308E-5</v>
      </c>
      <c r="J1445" s="1" cm="1">
        <f t="array" ref="J1445">SUMPRODUCT(("T_B_c-HYBDSL-S3"=[1]OUT_TransportEnergyCons!$A$3:$A$1000)*1,("var_fout"=[1]OUT_TransportEnergyCons!$B$3:$B$1000)*1,ISNUMBER(SEARCH("TPBSc",[1]OUT_TransportEnergyCons!$C$3:$C$1000))*1,[1]OUT_TransportEnergyCons!H$3:H$1000)</f>
        <v>8.3304117988831401E-8</v>
      </c>
      <c r="K1445" s="1" cm="1">
        <f t="array" ref="K1445">SUMPRODUCT(("T_B_c-HYBDSL-S3"=[1]OUT_TransportEnergyCons!$A$3:$A$1000)*1,("var_fout"=[1]OUT_TransportEnergyCons!$B$3:$B$1000)*1,ISNUMBER(SEARCH("TPBSc",[1]OUT_TransportEnergyCons!$C$3:$C$1000))*1,[1]OUT_TransportEnergyCons!I$3:I$1000)</f>
        <v>0</v>
      </c>
    </row>
    <row r="1446" spans="2:11" x14ac:dyDescent="0.35">
      <c r="B1446" s="5" t="str">
        <f t="shared" si="834"/>
        <v>SPS2</v>
      </c>
      <c r="C1446" s="5" t="str">
        <f t="shared" si="883"/>
        <v>CH</v>
      </c>
      <c r="D1446" t="s">
        <v>1441</v>
      </c>
      <c r="E1446" t="str">
        <f t="shared" si="884"/>
        <v>billion km/yr.</v>
      </c>
      <c r="F1446" s="1" cm="1">
        <f t="array" ref="F1446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SUMPRODUCT(("T_B_c-HYBDSL-S4"=[1]OUT_TransportEnergyCons!$A$3:$A$1000)*1,("var_fout"=[1]OUT_TransportEnergyCons!$B$3:$B$1000)*1,ISNUMBER(SEARCH("TPBSc",[1]OUT_TransportEnergyCons!$C$3:$C$1000))*1,[1]OUT_TransportEnergyCons!E$3:E$1000)</f>
        <v>5.911950852245462E-6</v>
      </c>
      <c r="H1446" s="1" cm="1">
        <f t="array" ref="H1446">SUMPRODUCT(("T_B_c-HYBDSL-S4"=[1]OUT_TransportEnergyCons!$A$3:$A$1000)*1,("var_fout"=[1]OUT_TransportEnergyCons!$B$3:$B$1000)*1,ISNUMBER(SEARCH("TPBSc",[1]OUT_TransportEnergyCons!$C$3:$C$1000))*1,[1]OUT_TransportEnergyCons!F$3:F$1000)</f>
        <v>1.1085898690664873E-5</v>
      </c>
      <c r="I1446" s="1" cm="1">
        <f t="array" ref="I1446">SUMPRODUCT(("T_B_c-HYBDSL-S4"=[1]OUT_TransportEnergyCons!$A$3:$A$1000)*1,("var_fout"=[1]OUT_TransportEnergyCons!$B$3:$B$1000)*1,ISNUMBER(SEARCH("TPBSc",[1]OUT_TransportEnergyCons!$C$3:$C$1000))*1,[1]OUT_TransportEnergyCons!G$3:G$1000)</f>
        <v>2.940624941922711E-7</v>
      </c>
      <c r="J1446" s="1" cm="1">
        <f t="array" ref="J1446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SUMPRODUCT(("T_B_c-HYBDSL-S4"=[1]OUT_TransportEnergyCons!$A$3:$A$1000)*1,("var_fout"=[1]OUT_TransportEnergyCons!$B$3:$B$1000)*1,ISNUMBER(SEARCH("TPBSc",[1]OUT_TransportEnergyCons!$C$3:$C$1000))*1,[1]OUT_TransportEnergyCons!I$3:I$1000)</f>
        <v>4.0911656987471002E-8</v>
      </c>
    </row>
    <row r="1447" spans="2:11" x14ac:dyDescent="0.35">
      <c r="B1447" s="5" t="str">
        <f t="shared" si="834"/>
        <v>SPS2</v>
      </c>
      <c r="C1447" s="5" t="str">
        <f t="shared" si="883"/>
        <v>CH</v>
      </c>
      <c r="D1447" t="s">
        <v>2117</v>
      </c>
      <c r="E1447" t="str">
        <f t="shared" si="884"/>
        <v>billion km/yr.</v>
      </c>
      <c r="F1447" s="1" cm="1">
        <f t="array" ref="F1447">SUMPRODUCT(("T_B_c-ICEDSLEXT"=[1]OUT_TransportEnergyCons!$A$3:$A$1000)*1,("var_fout"=[1]OUT_TransportEnergyCons!$B$3:$B$1000)*1,ISNUMBER(SEARCH("TPBSc",[1]OUT_TransportEnergyCons!$C$3:$C$1000))*1,[1]OUT_TransportEnergyCons!D$3:D$1000)</f>
        <v>5.9966496438389097E-2</v>
      </c>
      <c r="G1447" s="1" cm="1">
        <f t="array" ref="G1447">SUMPRODUCT(("T_B_c-ICEDSLEXT"=[1]OUT_TransportEnergyCons!$A$3:$A$1000)*1,("var_fout"=[1]OUT_TransportEnergyCons!$B$3:$B$1000)*1,ISNUMBER(SEARCH("TPBSc",[1]OUT_TransportEnergyCons!$C$3:$C$1000))*1,[1]OUT_TransportEnergyCons!E$3:E$1000)</f>
        <v>4.7992809360284265E-2</v>
      </c>
      <c r="H1447" s="1" cm="1">
        <f t="array" ref="H1447">SUMPRODUCT(("T_B_c-ICEDSLEXT"=[1]OUT_TransportEnergyCons!$A$3:$A$1000)*1,("var_fout"=[1]OUT_TransportEnergyCons!$B$3:$B$1000)*1,ISNUMBER(SEARCH("TPBSc",[1]OUT_TransportEnergyCons!$C$3:$C$1000))*1,[1]OUT_TransportEnergyCons!F$3:F$1000)</f>
        <v>2.9994044187335693E-2</v>
      </c>
      <c r="I1447" s="1" cm="1">
        <f t="array" ref="I1447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SUMPRODUCT(("T_B_c-ICEDSLEXT"=[1]OUT_TransportEnergyCons!$A$3:$A$1000)*1,("var_fout"=[1]OUT_TransportEnergyCons!$B$3:$B$1000)*1,ISNUMBER(SEARCH("TPBSc",[1]OUT_TransportEnergyCons!$C$3:$C$1000))*1,[1]OUT_TransportEnergyCons!I$3:I$1000)</f>
        <v>0</v>
      </c>
    </row>
    <row r="1448" spans="2:11" x14ac:dyDescent="0.35">
      <c r="B1448" s="5" t="str">
        <f t="shared" si="834"/>
        <v>SPS2</v>
      </c>
      <c r="C1448" s="5" t="str">
        <f t="shared" si="883"/>
        <v>CH</v>
      </c>
      <c r="D1448" t="s">
        <v>1442</v>
      </c>
      <c r="E1448" t="str">
        <f t="shared" si="884"/>
        <v>billion km/yr.</v>
      </c>
      <c r="F1448" s="1" cm="1">
        <f t="array" ref="F1448">SUMPRODUCT(("T_B_c-ICEDSL-S1"=[1]OUT_TransportEnergyCons!$A$3:$A$1000)*1,("var_fout"=[1]OUT_TransportEnergyCons!$B$3:$B$1000)*1,ISNUMBER(SEARCH("TPBSc",[1]OUT_TransportEnergyCons!$C$3:$C$1000))*1,[1]OUT_TransportEnergyCons!D$3:D$1000)</f>
        <v>1.4004423948081938E-2</v>
      </c>
      <c r="G1448" s="1" cm="1">
        <f t="array" ref="G1448">SUMPRODUCT(("T_B_c-ICEDSL-S1"=[1]OUT_TransportEnergyCons!$A$3:$A$1000)*1,("var_fout"=[1]OUT_TransportEnergyCons!$B$3:$B$1000)*1,ISNUMBER(SEARCH("TPBSc",[1]OUT_TransportEnergyCons!$C$3:$C$1000))*1,[1]OUT_TransportEnergyCons!E$3:E$1000)</f>
        <v>3.7684514577807665E-2</v>
      </c>
      <c r="H1448" s="1" cm="1">
        <f t="array" ref="H1448">SUMPRODUCT(("T_B_c-ICEDSL-S1"=[1]OUT_TransportEnergyCons!$A$3:$A$1000)*1,("var_fout"=[1]OUT_TransportEnergyCons!$B$3:$B$1000)*1,ISNUMBER(SEARCH("TPBSc",[1]OUT_TransportEnergyCons!$C$3:$C$1000))*1,[1]OUT_TransportEnergyCons!F$3:F$1000)</f>
        <v>4.5926241463692744E-2</v>
      </c>
      <c r="I1448" s="1" cm="1">
        <f t="array" ref="I1448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SUMPRODUCT(("T_B_c-ICEDSL-S1"=[1]OUT_TransportEnergyCons!$A$3:$A$1000)*1,("var_fout"=[1]OUT_TransportEnergyCons!$B$3:$B$1000)*1,ISNUMBER(SEARCH("TPBSc",[1]OUT_TransportEnergyCons!$C$3:$C$1000))*1,[1]OUT_TransportEnergyCons!H$3:H$1000)</f>
        <v>8.392742885514989E-6</v>
      </c>
      <c r="K1448" s="1" cm="1">
        <f t="array" ref="K1448">SUMPRODUCT(("T_B_c-ICEDSL-S1"=[1]OUT_TransportEnergyCons!$A$3:$A$1000)*1,("var_fout"=[1]OUT_TransportEnergyCons!$B$3:$B$1000)*1,ISNUMBER(SEARCH("TPBSc",[1]OUT_TransportEnergyCons!$C$3:$C$1000))*1,[1]OUT_TransportEnergyCons!I$3:I$1000)</f>
        <v>4.6218222931958838E-6</v>
      </c>
    </row>
    <row r="1449" spans="2:11" x14ac:dyDescent="0.35">
      <c r="B1449" s="5" t="str">
        <f t="shared" si="834"/>
        <v>SPS2</v>
      </c>
      <c r="C1449" s="5" t="str">
        <f t="shared" si="883"/>
        <v>CH</v>
      </c>
      <c r="D1449" t="s">
        <v>1443</v>
      </c>
      <c r="E1449" t="str">
        <f t="shared" si="884"/>
        <v>billion km/yr.</v>
      </c>
      <c r="F1449" s="1" cm="1">
        <f t="array" ref="F1449">SUMPRODUCT(("T_B_c-ICEDSL-S2"=[1]OUT_TransportEnergyCons!$A$3:$A$1000)*1,("var_fout"=[1]OUT_TransportEnergyCons!$B$3:$B$1000)*1,ISNUMBER(SEARCH("TPBSc",[1]OUT_TransportEnergyCons!$C$3:$C$1000))*1,[1]OUT_TransportEnergyCons!D$3:D$1000)</f>
        <v>4.5354185676904142E-2</v>
      </c>
      <c r="G1449" s="1" cm="1">
        <f t="array" ref="G1449">SUMPRODUCT(("T_B_c-ICEDSL-S2"=[1]OUT_TransportEnergyCons!$A$3:$A$1000)*1,("var_fout"=[1]OUT_TransportEnergyCons!$B$3:$B$1000)*1,ISNUMBER(SEARCH("TPBSc",[1]OUT_TransportEnergyCons!$C$3:$C$1000))*1,[1]OUT_TransportEnergyCons!E$3:E$1000)</f>
        <v>3.4556153870984735E-2</v>
      </c>
      <c r="H1449" s="1" cm="1">
        <f t="array" ref="H1449">SUMPRODUCT(("T_B_c-ICEDSL-S2"=[1]OUT_TransportEnergyCons!$A$3:$A$1000)*1,("var_fout"=[1]OUT_TransportEnergyCons!$B$3:$B$1000)*1,ISNUMBER(SEARCH("TPBSc",[1]OUT_TransportEnergyCons!$C$3:$C$1000))*1,[1]OUT_TransportEnergyCons!F$3:F$1000)</f>
        <v>4.2538128268016083E-2</v>
      </c>
      <c r="I1449" s="1" cm="1">
        <f t="array" ref="I1449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SUMPRODUCT(("T_B_c-ICEDSL-S2"=[1]OUT_TransportEnergyCons!$A$3:$A$1000)*1,("var_fout"=[1]OUT_TransportEnergyCons!$B$3:$B$1000)*1,ISNUMBER(SEARCH("TPBSc",[1]OUT_TransportEnergyCons!$C$3:$C$1000))*1,[1]OUT_TransportEnergyCons!H$3:H$1000)</f>
        <v>9.0190455386109286E-6</v>
      </c>
      <c r="K1449" s="1" cm="1">
        <f t="array" ref="K1449">SUMPRODUCT(("T_B_c-ICEDSL-S2"=[1]OUT_TransportEnergyCons!$A$3:$A$1000)*1,("var_fout"=[1]OUT_TransportEnergyCons!$B$3:$B$1000)*1,ISNUMBER(SEARCH("TPBSc",[1]OUT_TransportEnergyCons!$C$3:$C$1000))*1,[1]OUT_TransportEnergyCons!I$3:I$1000)</f>
        <v>4.3118865361781112E-6</v>
      </c>
    </row>
    <row r="1450" spans="2:11" x14ac:dyDescent="0.35">
      <c r="B1450" s="5" t="str">
        <f t="shared" si="834"/>
        <v>SPS2</v>
      </c>
      <c r="C1450" s="5" t="str">
        <f t="shared" si="883"/>
        <v>CH</v>
      </c>
      <c r="D1450" t="s">
        <v>1444</v>
      </c>
      <c r="E1450" t="str">
        <f t="shared" si="884"/>
        <v>billion km/yr.</v>
      </c>
      <c r="F1450" s="1" cm="1">
        <f t="array" ref="F1450">SUMPRODUCT(("T_B_c-ICEDSL-S3"=[1]OUT_TransportEnergyCons!$A$3:$A$1000)*1,("var_fout"=[1]OUT_TransportEnergyCons!$B$3:$B$1000)*1,ISNUMBER(SEARCH("TPBSc",[1]OUT_TransportEnergyCons!$C$3:$C$1000))*1,[1]OUT_TransportEnergyCons!D$3:D$1000)</f>
        <v>9.086205356715206E-3</v>
      </c>
      <c r="G1450" s="1" cm="1">
        <f t="array" ref="G1450">SUMPRODUCT(("T_B_c-ICEDSL-S3"=[1]OUT_TransportEnergyCons!$A$3:$A$1000)*1,("var_fout"=[1]OUT_TransportEnergyCons!$B$3:$B$1000)*1,ISNUMBER(SEARCH("TPBSc",[1]OUT_TransportEnergyCons!$C$3:$C$1000))*1,[1]OUT_TransportEnergyCons!E$3:E$1000)</f>
        <v>7.350278118482218E-3</v>
      </c>
      <c r="H1450" s="1" cm="1">
        <f t="array" ref="H1450">SUMPRODUCT(("T_B_c-ICEDSL-S3"=[1]OUT_TransportEnergyCons!$A$3:$A$1000)*1,("var_fout"=[1]OUT_TransportEnergyCons!$B$3:$B$1000)*1,ISNUMBER(SEARCH("TPBSc",[1]OUT_TransportEnergyCons!$C$3:$C$1000))*1,[1]OUT_TransportEnergyCons!F$3:F$1000)</f>
        <v>9.0075732028600791E-3</v>
      </c>
      <c r="I1450" s="1" cm="1">
        <f t="array" ref="I1450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SUMPRODUCT(("T_B_c-ICEDSL-S3"=[1]OUT_TransportEnergyCons!$A$3:$A$1000)*1,("var_fout"=[1]OUT_TransportEnergyCons!$B$3:$B$1000)*1,ISNUMBER(SEARCH("TPBSc",[1]OUT_TransportEnergyCons!$C$3:$C$1000))*1,[1]OUT_TransportEnergyCons!I$3:I$1000)</f>
        <v>0</v>
      </c>
    </row>
    <row r="1451" spans="2:11" x14ac:dyDescent="0.35">
      <c r="B1451" s="5" t="str">
        <f t="shared" si="834"/>
        <v>SPS2</v>
      </c>
      <c r="C1451" s="5" t="str">
        <f t="shared" si="883"/>
        <v>CH</v>
      </c>
      <c r="D1451" t="s">
        <v>1445</v>
      </c>
      <c r="E1451" t="str">
        <f t="shared" si="884"/>
        <v>billion km/yr.</v>
      </c>
      <c r="F1451" s="1" cm="1">
        <f t="array" ref="F1451">SUMPRODUCT(("T_B_c-ICEDSL-S4"=[1]OUT_TransportEnergyCons!$A$3:$A$1000)*1,("var_fout"=[1]OUT_TransportEnergyCons!$B$3:$B$1000)*1,ISNUMBER(SEARCH("TPBSc",[1]OUT_TransportEnergyCons!$C$3:$C$1000))*1,[1]OUT_TransportEnergyCons!D$3:D$1000)</f>
        <v>6.8959397973812067E-4</v>
      </c>
      <c r="G1451" s="1" cm="1">
        <f t="array" ref="G1451">SUMPRODUCT(("T_B_c-ICEDSL-S4"=[1]OUT_TransportEnergyCons!$A$3:$A$1000)*1,("var_fout"=[1]OUT_TransportEnergyCons!$B$3:$B$1000)*1,ISNUMBER(SEARCH("TPBSc",[1]OUT_TransportEnergyCons!$C$3:$C$1000))*1,[1]OUT_TransportEnergyCons!E$3:E$1000)</f>
        <v>4.5963274160980722E-5</v>
      </c>
      <c r="H1451" s="1" cm="1">
        <f t="array" ref="H1451">SUMPRODUCT(("T_B_c-ICEDSL-S4"=[1]OUT_TransportEnergyCons!$A$3:$A$1000)*1,("var_fout"=[1]OUT_TransportEnergyCons!$B$3:$B$1000)*1,ISNUMBER(SEARCH("TPBSc",[1]OUT_TransportEnergyCons!$C$3:$C$1000))*1,[1]OUT_TransportEnergyCons!F$3:F$1000)</f>
        <v>5.9821591212698727E-5</v>
      </c>
      <c r="I1451" s="1" cm="1">
        <f t="array" ref="I1451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SUMPRODUCT(("T_B_c-ICEDSL-S4"=[1]OUT_TransportEnergyCons!$A$3:$A$1000)*1,("var_fout"=[1]OUT_TransportEnergyCons!$B$3:$B$1000)*1,ISNUMBER(SEARCH("TPBSc",[1]OUT_TransportEnergyCons!$C$3:$C$1000))*1,[1]OUT_TransportEnergyCons!I$3:I$1000)</f>
        <v>0</v>
      </c>
    </row>
    <row r="1452" spans="2:11" x14ac:dyDescent="0.35">
      <c r="B1452" s="5" t="str">
        <f t="shared" si="834"/>
        <v>SPS2</v>
      </c>
      <c r="C1452" s="5" t="str">
        <f t="shared" si="883"/>
        <v>CH</v>
      </c>
      <c r="D1452" t="s">
        <v>2120</v>
      </c>
      <c r="E1452" t="str">
        <f t="shared" si="884"/>
        <v>billion km/yr.</v>
      </c>
      <c r="F1452" s="1" cm="1">
        <f t="array" ref="F1452">SUMPRODUCT(("T_B_c-ICEngaEXT"=[1]OUT_TransportEnergyCons!$A$3:$A$1000)*1,("var_fout"=[1]OUT_TransportEnergyCons!$B$3:$B$1000)*1,ISNUMBER(SEARCH("TPBSc",[1]OUT_TransportEnergyCons!$C$3:$C$1000))*1,[1]OUT_TransportEnergyCons!D$3:D$1000)</f>
        <v>1.3742855831604939E-3</v>
      </c>
      <c r="G1452" s="1" cm="1">
        <f t="array" ref="G1452">SUMPRODUCT(("T_B_c-ICEngaEXT"=[1]OUT_TransportEnergyCons!$A$3:$A$1000)*1,("var_fout"=[1]OUT_TransportEnergyCons!$B$3:$B$1000)*1,ISNUMBER(SEARCH("TPBSc",[1]OUT_TransportEnergyCons!$C$3:$C$1000))*1,[1]OUT_TransportEnergyCons!E$3:E$1000)</f>
        <v>1.1187537695543999E-3</v>
      </c>
      <c r="H1452" s="1" cm="1">
        <f t="array" ref="H1452">SUMPRODUCT(("T_B_c-ICEngaEXT"=[1]OUT_TransportEnergyCons!$A$3:$A$1000)*1,("var_fout"=[1]OUT_TransportEnergyCons!$B$3:$B$1000)*1,ISNUMBER(SEARCH("TPBSc",[1]OUT_TransportEnergyCons!$C$3:$C$1000))*1,[1]OUT_TransportEnergyCons!F$3:F$1000)</f>
        <v>6.9404428989296033E-4</v>
      </c>
      <c r="I1452" s="1" cm="1">
        <f t="array" ref="I1452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SUMPRODUCT(("T_B_c-ICEngaEXT"=[1]OUT_TransportEnergyCons!$A$3:$A$1000)*1,("var_fout"=[1]OUT_TransportEnergyCons!$B$3:$B$1000)*1,ISNUMBER(SEARCH("TPBSc",[1]OUT_TransportEnergyCons!$C$3:$C$1000))*1,[1]OUT_TransportEnergyCons!I$3:I$1000)</f>
        <v>0</v>
      </c>
    </row>
    <row r="1453" spans="2:11" x14ac:dyDescent="0.35">
      <c r="B1453" s="5" t="str">
        <f t="shared" si="834"/>
        <v>SPS2</v>
      </c>
      <c r="C1453" s="5" t="str">
        <f t="shared" si="883"/>
        <v>CH</v>
      </c>
      <c r="D1453" t="s">
        <v>1446</v>
      </c>
      <c r="E1453" t="str">
        <f t="shared" si="884"/>
        <v>billion km/yr.</v>
      </c>
      <c r="F1453" s="1" cm="1">
        <f t="array" ref="F1453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3" s="1" cm="1">
        <f t="array" ref="G1453">SUMPRODUCT(("T_B_c-ICEnga-S1"=[1]OUT_TransportEnergyCons!$A$3:$A$1000)*1,("var_fout"=[1]OUT_TransportEnergyCons!$B$3:$B$1000)*1,ISNUMBER(SEARCH("TPBSc",[1]OUT_TransportEnergyCons!$C$3:$C$1000))*1,[1]OUT_TransportEnergyCons!E$3:E$1000)</f>
        <v>3.1549097211032261E-4</v>
      </c>
      <c r="H1453" s="1" cm="1">
        <f t="array" ref="H1453">SUMPRODUCT(("T_B_c-ICEnga-S1"=[1]OUT_TransportEnergyCons!$A$3:$A$1000)*1,("var_fout"=[1]OUT_TransportEnergyCons!$B$3:$B$1000)*1,ISNUMBER(SEARCH("TPBSc",[1]OUT_TransportEnergyCons!$C$3:$C$1000))*1,[1]OUT_TransportEnergyCons!F$3:F$1000)</f>
        <v>4.9744950721861375E-4</v>
      </c>
      <c r="I1453" s="1" cm="1">
        <f t="array" ref="I1453">SUMPRODUCT(("T_B_c-ICEnga-S1"=[1]OUT_TransportEnergyCons!$A$3:$A$1000)*1,("var_fout"=[1]OUT_TransportEnergyCons!$B$3:$B$1000)*1,ISNUMBER(SEARCH("TPBSc",[1]OUT_TransportEnergyCons!$C$3:$C$1000))*1,[1]OUT_TransportEnergyCons!G$3:G$1000)</f>
        <v>1.9111291303411444E-6</v>
      </c>
      <c r="J1453" s="1" cm="1">
        <f t="array" ref="J1453">SUMPRODUCT(("T_B_c-ICEnga-S1"=[1]OUT_TransportEnergyCons!$A$3:$A$1000)*1,("var_fout"=[1]OUT_TransportEnergyCons!$B$3:$B$1000)*1,ISNUMBER(SEARCH("TPBSc",[1]OUT_TransportEnergyCons!$C$3:$C$1000))*1,[1]OUT_TransportEnergyCons!H$3:H$1000)</f>
        <v>4.1413384675282719E-6</v>
      </c>
      <c r="K1453" s="1" cm="1">
        <f t="array" ref="K1453">SUMPRODUCT(("T_B_c-ICEnga-S1"=[1]OUT_TransportEnergyCons!$A$3:$A$1000)*1,("var_fout"=[1]OUT_TransportEnergyCons!$B$3:$B$1000)*1,ISNUMBER(SEARCH("TPBSc",[1]OUT_TransportEnergyCons!$C$3:$C$1000))*1,[1]OUT_TransportEnergyCons!I$3:I$1000)</f>
        <v>1.1206815654893969E-6</v>
      </c>
    </row>
    <row r="1454" spans="2:11" x14ac:dyDescent="0.35">
      <c r="B1454" s="5" t="str">
        <f t="shared" si="834"/>
        <v>SPS2</v>
      </c>
      <c r="C1454" s="5" t="str">
        <f t="shared" si="883"/>
        <v>CH</v>
      </c>
      <c r="D1454" t="s">
        <v>1447</v>
      </c>
      <c r="E1454" t="str">
        <f t="shared" si="884"/>
        <v>billion km/yr.</v>
      </c>
      <c r="F1454" s="1" cm="1">
        <f t="array" ref="F1454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4" s="1" cm="1">
        <f t="array" ref="G1454">SUMPRODUCT(("T_B_c-ICEnga-S2"=[1]OUT_TransportEnergyCons!$A$3:$A$1000)*1,("var_fout"=[1]OUT_TransportEnergyCons!$B$3:$B$1000)*1,ISNUMBER(SEARCH("TPBSc",[1]OUT_TransportEnergyCons!$C$3:$C$1000))*1,[1]OUT_TransportEnergyCons!E$3:E$1000)</f>
        <v>4.8998095681827113E-5</v>
      </c>
      <c r="H1454" s="1" cm="1">
        <f t="array" ref="H1454">SUMPRODUCT(("T_B_c-ICEnga-S2"=[1]OUT_TransportEnergyCons!$A$3:$A$1000)*1,("var_fout"=[1]OUT_TransportEnergyCons!$B$3:$B$1000)*1,ISNUMBER(SEARCH("TPBSc",[1]OUT_TransportEnergyCons!$C$3:$C$1000))*1,[1]OUT_TransportEnergyCons!F$3:F$1000)</f>
        <v>1.4155563736429366E-4</v>
      </c>
      <c r="I1454" s="1" cm="1">
        <f t="array" ref="I1454">SUMPRODUCT(("T_B_c-ICEnga-S2"=[1]OUT_TransportEnergyCons!$A$3:$A$1000)*1,("var_fout"=[1]OUT_TransportEnergyCons!$B$3:$B$1000)*1,ISNUMBER(SEARCH("TPBSc",[1]OUT_TransportEnergyCons!$C$3:$C$1000))*1,[1]OUT_TransportEnergyCons!G$3:G$1000)</f>
        <v>1.3054108883729602E-6</v>
      </c>
      <c r="J1454" s="1" cm="1">
        <f t="array" ref="J1454">SUMPRODUCT(("T_B_c-ICEnga-S2"=[1]OUT_TransportEnergyCons!$A$3:$A$1000)*1,("var_fout"=[1]OUT_TransportEnergyCons!$B$3:$B$1000)*1,ISNUMBER(SEARCH("TPBSc",[1]OUT_TransportEnergyCons!$C$3:$C$1000))*1,[1]OUT_TransportEnergyCons!H$3:H$1000)</f>
        <v>4.5276947629965954E-6</v>
      </c>
      <c r="K1454" s="1" cm="1">
        <f t="array" ref="K1454">SUMPRODUCT(("T_B_c-ICEnga-S2"=[1]OUT_TransportEnergyCons!$A$3:$A$1000)*1,("var_fout"=[1]OUT_TransportEnergyCons!$B$3:$B$1000)*1,ISNUMBER(SEARCH("TPBSc",[1]OUT_TransportEnergyCons!$C$3:$C$1000))*1,[1]OUT_TransportEnergyCons!I$3:I$1000)</f>
        <v>1.4822618972626884E-6</v>
      </c>
    </row>
    <row r="1455" spans="2:11" x14ac:dyDescent="0.35">
      <c r="B1455" s="5" t="str">
        <f t="shared" si="834"/>
        <v>SPS2</v>
      </c>
      <c r="C1455" s="5" t="str">
        <f t="shared" si="883"/>
        <v>CH</v>
      </c>
      <c r="D1455" t="s">
        <v>1448</v>
      </c>
      <c r="E1455" t="str">
        <f t="shared" si="884"/>
        <v>billion km/yr.</v>
      </c>
      <c r="F1455" s="1" cm="1">
        <f t="array" ref="F1455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SUMPRODUCT(("T_B_c-ICEnga-S3"=[1]OUT_TransportEnergyCons!$A$3:$A$1000)*1,("var_fout"=[1]OUT_TransportEnergyCons!$B$3:$B$1000)*1,ISNUMBER(SEARCH("TPBSc",[1]OUT_TransportEnergyCons!$C$3:$C$1000))*1,[1]OUT_TransportEnergyCons!E$3:E$1000)</f>
        <v>2.3556006364408284E-5</v>
      </c>
      <c r="H1455" s="1" cm="1">
        <f t="array" ref="H1455">SUMPRODUCT(("T_B_c-ICEnga-S3"=[1]OUT_TransportEnergyCons!$A$3:$A$1000)*1,("var_fout"=[1]OUT_TransportEnergyCons!$B$3:$B$1000)*1,ISNUMBER(SEARCH("TPBSc",[1]OUT_TransportEnergyCons!$C$3:$C$1000))*1,[1]OUT_TransportEnergyCons!F$3:F$1000)</f>
        <v>6.2523760535866283E-5</v>
      </c>
      <c r="I1455" s="1" cm="1">
        <f t="array" ref="I1455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SUMPRODUCT(("T_B_c-ICEnga-S3"=[1]OUT_TransportEnergyCons!$A$3:$A$1000)*1,("var_fout"=[1]OUT_TransportEnergyCons!$B$3:$B$1000)*1,ISNUMBER(SEARCH("TPBSc",[1]OUT_TransportEnergyCons!$C$3:$C$1000))*1,[1]OUT_TransportEnergyCons!H$3:H$1000)</f>
        <v>3.9914220536437644E-7</v>
      </c>
      <c r="K1455" s="1" cm="1">
        <f t="array" ref="K1455">SUMPRODUCT(("T_B_c-ICEnga-S3"=[1]OUT_TransportEnergyCons!$A$3:$A$1000)*1,("var_fout"=[1]OUT_TransportEnergyCons!$B$3:$B$1000)*1,ISNUMBER(SEARCH("TPBSc",[1]OUT_TransportEnergyCons!$C$3:$C$1000))*1,[1]OUT_TransportEnergyCons!I$3:I$1000)</f>
        <v>0</v>
      </c>
    </row>
    <row r="1456" spans="2:11" x14ac:dyDescent="0.35">
      <c r="B1456" s="5" t="str">
        <f t="shared" si="834"/>
        <v>SPS2</v>
      </c>
      <c r="C1456" s="5" t="str">
        <f t="shared" si="883"/>
        <v>CH</v>
      </c>
      <c r="D1456" t="s">
        <v>1449</v>
      </c>
      <c r="E1456" t="str">
        <f t="shared" si="884"/>
        <v>billion km/yr.</v>
      </c>
      <c r="F1456" s="1" cm="1">
        <f t="array" ref="F1456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SUMPRODUCT(("T_B_c-ICEnga-S4"=[1]OUT_TransportEnergyCons!$A$3:$A$1000)*1,("var_fout"=[1]OUT_TransportEnergyCons!$B$3:$B$1000)*1,ISNUMBER(SEARCH("TPBSc",[1]OUT_TransportEnergyCons!$C$3:$C$1000))*1,[1]OUT_TransportEnergyCons!E$3:E$1000)</f>
        <v>4.1462797450152467E-6</v>
      </c>
      <c r="H1456" s="1" cm="1">
        <f t="array" ref="H1456">SUMPRODUCT(("T_B_c-ICEnga-S4"=[1]OUT_TransportEnergyCons!$A$3:$A$1000)*1,("var_fout"=[1]OUT_TransportEnergyCons!$B$3:$B$1000)*1,ISNUMBER(SEARCH("TPBSc",[1]OUT_TransportEnergyCons!$C$3:$C$1000))*1,[1]OUT_TransportEnergyCons!F$3:F$1000)</f>
        <v>1.0179008018683386E-5</v>
      </c>
      <c r="I1456" s="1" cm="1">
        <f t="array" ref="I1456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SUMPRODUCT(("T_B_c-ICEnga-S4"=[1]OUT_TransportEnergyCons!$A$3:$A$1000)*1,("var_fout"=[1]OUT_TransportEnergyCons!$B$3:$B$1000)*1,ISNUMBER(SEARCH("TPBSc",[1]OUT_TransportEnergyCons!$C$3:$C$1000))*1,[1]OUT_TransportEnergyCons!H$3:H$1000)</f>
        <v>1.2088197528855252E-7</v>
      </c>
      <c r="K1456" s="1" cm="1">
        <f t="array" ref="K1456">SUMPRODUCT(("T_B_c-ICEnga-S4"=[1]OUT_TransportEnergyCons!$A$3:$A$1000)*1,("var_fout"=[1]OUT_TransportEnergyCons!$B$3:$B$1000)*1,ISNUMBER(SEARCH("TPBSc",[1]OUT_TransportEnergyCons!$C$3:$C$1000))*1,[1]OUT_TransportEnergyCons!I$3:I$1000)</f>
        <v>0</v>
      </c>
    </row>
    <row r="1457" spans="2:11" x14ac:dyDescent="0.35">
      <c r="B1457" s="5" t="str">
        <f t="shared" si="834"/>
        <v>SPS2</v>
      </c>
      <c r="C1457" s="5" t="str">
        <f>C1456</f>
        <v>CH</v>
      </c>
      <c r="D1457" s="2" t="s">
        <v>1394</v>
      </c>
      <c r="E1457" s="2" t="s">
        <v>1230</v>
      </c>
      <c r="F1457" s="21" t="s">
        <v>292</v>
      </c>
      <c r="G1457" s="21" t="s">
        <v>292</v>
      </c>
      <c r="H1457" s="21" t="s">
        <v>292</v>
      </c>
      <c r="I1457" s="21" t="s">
        <v>292</v>
      </c>
      <c r="J1457" s="21" t="s">
        <v>292</v>
      </c>
      <c r="K1457" s="21" t="s">
        <v>292</v>
      </c>
    </row>
    <row r="1458" spans="2:11" x14ac:dyDescent="0.35">
      <c r="B1458" s="5" t="str">
        <f t="shared" si="834"/>
        <v>SPS2</v>
      </c>
      <c r="C1458" s="5" t="str">
        <f t="shared" ref="C1458:C1480" si="885">C1457</f>
        <v>CH</v>
      </c>
      <c r="D1458" t="s">
        <v>1450</v>
      </c>
      <c r="E1458" t="s">
        <v>1230</v>
      </c>
      <c r="F1458" s="1" t="str">
        <f>IFERROR(F1434/F1399,"-")</f>
        <v>-</v>
      </c>
      <c r="G1458" s="1" t="str">
        <f t="shared" ref="G1458:K1458" si="886">IFERROR(G1434/G1399,"-")</f>
        <v>-</v>
      </c>
      <c r="H1458" s="1" t="str">
        <f t="shared" si="886"/>
        <v>-</v>
      </c>
      <c r="I1458" s="1" t="str">
        <f t="shared" si="886"/>
        <v>-</v>
      </c>
      <c r="J1458" s="1" t="str">
        <f t="shared" si="886"/>
        <v>-</v>
      </c>
      <c r="K1458" s="1" t="str">
        <f t="shared" si="886"/>
        <v>-</v>
      </c>
    </row>
    <row r="1459" spans="2:11" x14ac:dyDescent="0.35">
      <c r="B1459" s="5" t="str">
        <f t="shared" si="834"/>
        <v>SPS2</v>
      </c>
      <c r="C1459" s="5" t="str">
        <f t="shared" si="885"/>
        <v>CH</v>
      </c>
      <c r="D1459" t="s">
        <v>1451</v>
      </c>
      <c r="E1459" t="s">
        <v>1230</v>
      </c>
      <c r="F1459" s="1">
        <f t="shared" ref="F1459:K1459" si="887">IFERROR(F1435/F1400,"-")</f>
        <v>0.37869321701871778</v>
      </c>
      <c r="G1459" s="1">
        <f t="shared" si="887"/>
        <v>0.38842692115508964</v>
      </c>
      <c r="H1459" s="1">
        <f t="shared" si="887"/>
        <v>0.40012372512185168</v>
      </c>
      <c r="I1459" s="1">
        <f t="shared" si="887"/>
        <v>0.44724311845552966</v>
      </c>
      <c r="J1459" s="1">
        <f t="shared" si="887"/>
        <v>0.47203923369919826</v>
      </c>
      <c r="K1459" s="1">
        <f t="shared" si="887"/>
        <v>0.53083237370901548</v>
      </c>
    </row>
    <row r="1460" spans="2:11" x14ac:dyDescent="0.35">
      <c r="B1460" s="5" t="str">
        <f t="shared" ref="B1460:B1523" si="888">B1459</f>
        <v>SPS2</v>
      </c>
      <c r="C1460" s="5" t="str">
        <f t="shared" si="885"/>
        <v>CH</v>
      </c>
      <c r="D1460" t="s">
        <v>1452</v>
      </c>
      <c r="E1460" t="s">
        <v>1230</v>
      </c>
      <c r="F1460" s="1">
        <f t="shared" ref="F1460:K1460" si="889">IFERROR(F1436/F1401,"-")</f>
        <v>0.27518070496490699</v>
      </c>
      <c r="G1460" s="1">
        <f t="shared" si="889"/>
        <v>0.27818179880661825</v>
      </c>
      <c r="H1460" s="1">
        <f t="shared" si="889"/>
        <v>0.28233788990206865</v>
      </c>
      <c r="I1460" s="1">
        <f t="shared" si="889"/>
        <v>0.32423115645007916</v>
      </c>
      <c r="J1460" s="1">
        <f t="shared" si="889"/>
        <v>0.34953846086248358</v>
      </c>
      <c r="K1460" s="1">
        <f t="shared" si="889"/>
        <v>0.37828998355191773</v>
      </c>
    </row>
    <row r="1461" spans="2:11" x14ac:dyDescent="0.35">
      <c r="B1461" s="5" t="str">
        <f t="shared" si="888"/>
        <v>SPS2</v>
      </c>
      <c r="C1461" s="5" t="str">
        <f t="shared" si="885"/>
        <v>CH</v>
      </c>
      <c r="D1461" t="s">
        <v>1453</v>
      </c>
      <c r="E1461" t="s">
        <v>1230</v>
      </c>
      <c r="F1461" s="1">
        <f t="shared" ref="F1461:K1461" si="890">IFERROR(F1437/F1402,"-")</f>
        <v>0.1829704071343993</v>
      </c>
      <c r="G1461" s="1">
        <f t="shared" si="890"/>
        <v>0.18533538539206904</v>
      </c>
      <c r="H1461" s="1">
        <f t="shared" si="890"/>
        <v>0.18906115049570613</v>
      </c>
      <c r="I1461" s="1">
        <f t="shared" si="890"/>
        <v>0.21573258907137596</v>
      </c>
      <c r="J1461" s="1">
        <f t="shared" si="890"/>
        <v>0.23608919441870799</v>
      </c>
      <c r="K1461" s="1">
        <f t="shared" si="890"/>
        <v>0.25564429644858272</v>
      </c>
    </row>
    <row r="1462" spans="2:11" x14ac:dyDescent="0.35">
      <c r="B1462" s="5" t="str">
        <f t="shared" si="888"/>
        <v>SPS2</v>
      </c>
      <c r="C1462" s="5" t="str">
        <f t="shared" si="885"/>
        <v>CH</v>
      </c>
      <c r="D1462" t="s">
        <v>1454</v>
      </c>
      <c r="E1462" t="s">
        <v>1230</v>
      </c>
      <c r="F1462" s="1" t="str">
        <f t="shared" ref="F1462:K1462" si="891">IFERROR(F1438/F1403,"-")</f>
        <v>-</v>
      </c>
      <c r="G1462" s="1">
        <f t="shared" si="891"/>
        <v>0.12643429100140435</v>
      </c>
      <c r="H1462" s="1">
        <f t="shared" si="891"/>
        <v>0.12953376217530765</v>
      </c>
      <c r="I1462" s="1">
        <f t="shared" si="891"/>
        <v>0.13958810431139862</v>
      </c>
      <c r="J1462" s="1">
        <f t="shared" si="891"/>
        <v>0.15765556548894263</v>
      </c>
      <c r="K1462" s="1">
        <f t="shared" si="891"/>
        <v>0.17073917268834971</v>
      </c>
    </row>
    <row r="1463" spans="2:11" x14ac:dyDescent="0.35">
      <c r="B1463" s="5" t="str">
        <f t="shared" si="888"/>
        <v>SPS2</v>
      </c>
      <c r="C1463" s="5" t="str">
        <f t="shared" si="885"/>
        <v>CH</v>
      </c>
      <c r="D1463" t="s">
        <v>1455</v>
      </c>
      <c r="E1463" t="s">
        <v>1230</v>
      </c>
      <c r="F1463" s="1" t="str">
        <f>IFERROR(F1439/F1405,"-")</f>
        <v>-</v>
      </c>
      <c r="G1463" s="1" t="str">
        <f t="shared" ref="G1463:K1463" si="892">IFERROR(G1439/G1405,"-")</f>
        <v>-</v>
      </c>
      <c r="H1463" s="1" t="str">
        <f t="shared" si="892"/>
        <v>-</v>
      </c>
      <c r="I1463" s="1">
        <f t="shared" si="892"/>
        <v>0.23440176174444113</v>
      </c>
      <c r="J1463" s="1">
        <f t="shared" si="892"/>
        <v>0.26015866082065275</v>
      </c>
      <c r="K1463" s="1" t="str">
        <f t="shared" si="892"/>
        <v>-</v>
      </c>
    </row>
    <row r="1464" spans="2:11" x14ac:dyDescent="0.35">
      <c r="B1464" s="5" t="str">
        <f t="shared" si="888"/>
        <v>SPS2</v>
      </c>
      <c r="C1464" s="5" t="str">
        <f t="shared" si="885"/>
        <v>CH</v>
      </c>
      <c r="D1464" t="s">
        <v>1456</v>
      </c>
      <c r="E1464" t="s">
        <v>1230</v>
      </c>
      <c r="F1464" s="1" t="str">
        <f t="shared" ref="F1464:K1464" si="893">IFERROR(F1440/F1406,"-")</f>
        <v>-</v>
      </c>
      <c r="G1464" s="1" t="str">
        <f t="shared" si="893"/>
        <v>-</v>
      </c>
      <c r="H1464" s="1" t="str">
        <f t="shared" si="893"/>
        <v>-</v>
      </c>
      <c r="I1464" s="1">
        <f t="shared" si="893"/>
        <v>0.16910151451049596</v>
      </c>
      <c r="J1464" s="1">
        <f t="shared" si="893"/>
        <v>0.18456216711511911</v>
      </c>
      <c r="K1464" s="1">
        <f t="shared" si="893"/>
        <v>0.19083238553654958</v>
      </c>
    </row>
    <row r="1465" spans="2:11" x14ac:dyDescent="0.35">
      <c r="B1465" s="5" t="str">
        <f t="shared" si="888"/>
        <v>SPS2</v>
      </c>
      <c r="C1465" s="5" t="str">
        <f t="shared" si="885"/>
        <v>CH</v>
      </c>
      <c r="D1465" t="s">
        <v>1457</v>
      </c>
      <c r="E1465" t="s">
        <v>1230</v>
      </c>
      <c r="F1465" s="1" t="str">
        <f t="shared" ref="F1465:K1465" si="894">IFERROR(F1441/F1407,"-")</f>
        <v>-</v>
      </c>
      <c r="G1465" s="1" t="str">
        <f t="shared" si="894"/>
        <v>-</v>
      </c>
      <c r="H1465" s="1" t="str">
        <f t="shared" si="894"/>
        <v>-</v>
      </c>
      <c r="I1465" s="1">
        <f t="shared" si="894"/>
        <v>0.11310839137372301</v>
      </c>
      <c r="J1465" s="1">
        <f t="shared" si="894"/>
        <v>0.12704625975318695</v>
      </c>
      <c r="K1465" s="1">
        <f t="shared" si="894"/>
        <v>0.13830997357681624</v>
      </c>
    </row>
    <row r="1466" spans="2:11" x14ac:dyDescent="0.35">
      <c r="B1466" s="5" t="str">
        <f t="shared" si="888"/>
        <v>SPS2</v>
      </c>
      <c r="C1466" s="5" t="str">
        <f t="shared" si="885"/>
        <v>CH</v>
      </c>
      <c r="D1466" t="s">
        <v>1458</v>
      </c>
      <c r="E1466" t="s">
        <v>1230</v>
      </c>
      <c r="F1466" s="1" t="str">
        <f t="shared" ref="F1466:K1466" si="895">IFERROR(F1442/F1408,"-")</f>
        <v>-</v>
      </c>
      <c r="G1466" s="1" t="str">
        <f t="shared" si="895"/>
        <v>-</v>
      </c>
      <c r="H1466" s="1" t="str">
        <f t="shared" si="895"/>
        <v>-</v>
      </c>
      <c r="I1466" s="1" t="str">
        <f t="shared" si="895"/>
        <v>-</v>
      </c>
      <c r="J1466" s="1">
        <f t="shared" si="895"/>
        <v>8.3673128270071243E-2</v>
      </c>
      <c r="K1466" s="1">
        <f t="shared" si="895"/>
        <v>8.717519273595567E-2</v>
      </c>
    </row>
    <row r="1467" spans="2:11" x14ac:dyDescent="0.35">
      <c r="B1467" s="5" t="str">
        <f t="shared" si="888"/>
        <v>SPS2</v>
      </c>
      <c r="C1467" s="5" t="str">
        <f t="shared" si="885"/>
        <v>CH</v>
      </c>
      <c r="D1467" t="s">
        <v>1459</v>
      </c>
      <c r="E1467" t="s">
        <v>1230</v>
      </c>
      <c r="F1467" s="1" t="str">
        <f>IFERROR(F1443/F1414,"-")</f>
        <v>-</v>
      </c>
      <c r="G1467" s="1">
        <f t="shared" ref="G1467:K1467" si="896">IFERROR(G1443/G1414,"-")</f>
        <v>0.1625136996888385</v>
      </c>
      <c r="H1467" s="1">
        <f t="shared" si="896"/>
        <v>0.16378986737901416</v>
      </c>
      <c r="I1467" s="1">
        <f t="shared" si="896"/>
        <v>0.17561655871570481</v>
      </c>
      <c r="J1467" s="1">
        <f t="shared" si="896"/>
        <v>0.20464841739300285</v>
      </c>
      <c r="K1467" s="1">
        <f t="shared" si="896"/>
        <v>0.20315206966417759</v>
      </c>
    </row>
    <row r="1468" spans="2:11" x14ac:dyDescent="0.35">
      <c r="B1468" s="5" t="str">
        <f t="shared" si="888"/>
        <v>SPS2</v>
      </c>
      <c r="C1468" s="5" t="str">
        <f t="shared" si="885"/>
        <v>CH</v>
      </c>
      <c r="D1468" t="s">
        <v>1460</v>
      </c>
      <c r="E1468" t="s">
        <v>1230</v>
      </c>
      <c r="F1468" s="1" t="str">
        <f t="shared" ref="F1468:K1468" si="897">IFERROR(F1444/F1415,"-")</f>
        <v>-</v>
      </c>
      <c r="G1468" s="1">
        <f t="shared" si="897"/>
        <v>0.11649393435744144</v>
      </c>
      <c r="H1468" s="1">
        <f t="shared" si="897"/>
        <v>0.11915741659912123</v>
      </c>
      <c r="I1468" s="1">
        <f t="shared" si="897"/>
        <v>0.12352518405024476</v>
      </c>
      <c r="J1468" s="1">
        <f t="shared" si="897"/>
        <v>0.14667213054387704</v>
      </c>
      <c r="K1468" s="1">
        <f t="shared" si="897"/>
        <v>0.14655734317385768</v>
      </c>
    </row>
    <row r="1469" spans="2:11" x14ac:dyDescent="0.35">
      <c r="B1469" s="5" t="str">
        <f t="shared" si="888"/>
        <v>SPS2</v>
      </c>
      <c r="C1469" s="5" t="str">
        <f t="shared" si="885"/>
        <v>CH</v>
      </c>
      <c r="D1469" t="s">
        <v>1461</v>
      </c>
      <c r="E1469" t="s">
        <v>1230</v>
      </c>
      <c r="F1469" s="1" t="str">
        <f t="shared" ref="F1469:K1469" si="898">IFERROR(F1445/F1416,"-")</f>
        <v>-</v>
      </c>
      <c r="G1469" s="1">
        <f t="shared" si="898"/>
        <v>7.8235828164578886E-2</v>
      </c>
      <c r="H1469" s="1">
        <f t="shared" si="898"/>
        <v>7.993066456726336E-2</v>
      </c>
      <c r="I1469" s="1">
        <f t="shared" si="898"/>
        <v>8.2074500202403755E-2</v>
      </c>
      <c r="J1469" s="1">
        <f t="shared" si="898"/>
        <v>9.8731992554448839E-2</v>
      </c>
      <c r="K1469" s="1" t="str">
        <f t="shared" si="898"/>
        <v>-</v>
      </c>
    </row>
    <row r="1470" spans="2:11" x14ac:dyDescent="0.35">
      <c r="B1470" s="5" t="str">
        <f t="shared" si="888"/>
        <v>SPS2</v>
      </c>
      <c r="C1470" s="5" t="str">
        <f t="shared" si="885"/>
        <v>CH</v>
      </c>
      <c r="D1470" t="s">
        <v>1462</v>
      </c>
      <c r="E1470" t="s">
        <v>1230</v>
      </c>
      <c r="F1470" s="1" t="str">
        <f t="shared" ref="F1470:K1470" si="899">IFERROR(F1446/F1417,"-")</f>
        <v>-</v>
      </c>
      <c r="G1470" s="1">
        <f t="shared" si="899"/>
        <v>5.2751439830497716E-2</v>
      </c>
      <c r="H1470" s="1">
        <f t="shared" si="899"/>
        <v>5.3896280663244395E-2</v>
      </c>
      <c r="I1470" s="1">
        <f t="shared" si="899"/>
        <v>5.2751439830497744E-2</v>
      </c>
      <c r="J1470" s="1" t="str">
        <f t="shared" si="899"/>
        <v>-</v>
      </c>
      <c r="K1470" s="1">
        <f t="shared" si="899"/>
        <v>6.6676765357699702E-2</v>
      </c>
    </row>
    <row r="1471" spans="2:11" x14ac:dyDescent="0.35">
      <c r="B1471" s="5" t="str">
        <f t="shared" si="888"/>
        <v>SPS2</v>
      </c>
      <c r="C1471" s="5" t="str">
        <f t="shared" si="885"/>
        <v>CH</v>
      </c>
      <c r="D1471" t="s">
        <v>2118</v>
      </c>
      <c r="E1471" t="s">
        <v>1230</v>
      </c>
      <c r="F1471" s="1">
        <f>IFERROR(F1447/F1418,"-")</f>
        <v>9.9502495941956521</v>
      </c>
      <c r="G1471" s="1">
        <f t="shared" ref="G1471:K1471" si="900">IFERROR(G1447/G1418,"-")</f>
        <v>7.9797266512003091</v>
      </c>
      <c r="H1471" s="1">
        <f t="shared" si="900"/>
        <v>5.0239422367072919</v>
      </c>
      <c r="I1471" s="1" t="str">
        <f t="shared" si="900"/>
        <v>-</v>
      </c>
      <c r="J1471" s="1" t="str">
        <f t="shared" si="900"/>
        <v>-</v>
      </c>
      <c r="K1471" s="1" t="str">
        <f t="shared" si="900"/>
        <v>-</v>
      </c>
    </row>
    <row r="1472" spans="2:11" x14ac:dyDescent="0.35">
      <c r="B1472" s="5" t="str">
        <f t="shared" si="888"/>
        <v>SPS2</v>
      </c>
      <c r="C1472" s="5" t="str">
        <f t="shared" si="885"/>
        <v>CH</v>
      </c>
      <c r="D1472" t="s">
        <v>1463</v>
      </c>
      <c r="E1472" t="s">
        <v>1230</v>
      </c>
      <c r="F1472" s="1">
        <f t="shared" ref="F1472:K1472" si="901">IFERROR(F1448/F1419,"-")</f>
        <v>0.12391916748597506</v>
      </c>
      <c r="G1472" s="1">
        <f t="shared" si="901"/>
        <v>0.12662993035862399</v>
      </c>
      <c r="H1472" s="1">
        <f t="shared" si="901"/>
        <v>0.12811630226456805</v>
      </c>
      <c r="I1472" s="1" t="str">
        <f t="shared" si="901"/>
        <v>-</v>
      </c>
      <c r="J1472" s="1">
        <f t="shared" si="901"/>
        <v>0.16277535382583036</v>
      </c>
      <c r="K1472" s="1">
        <f t="shared" si="901"/>
        <v>0.16131438693871933</v>
      </c>
    </row>
    <row r="1473" spans="2:11" x14ac:dyDescent="0.35">
      <c r="B1473" s="5" t="str">
        <f t="shared" si="888"/>
        <v>SPS2</v>
      </c>
      <c r="C1473" s="5" t="str">
        <f t="shared" si="885"/>
        <v>CH</v>
      </c>
      <c r="D1473" t="s">
        <v>1464</v>
      </c>
      <c r="E1473" t="s">
        <v>1230</v>
      </c>
      <c r="F1473" s="1">
        <f t="shared" ref="F1473:K1473" si="902">IFERROR(F1449/F1420,"-")</f>
        <v>8.746584758561661E-2</v>
      </c>
      <c r="G1473" s="1">
        <f t="shared" si="902"/>
        <v>8.780934224202637E-2</v>
      </c>
      <c r="H1473" s="1">
        <f t="shared" si="902"/>
        <v>8.7786532779688203E-2</v>
      </c>
      <c r="I1473" s="1" t="str">
        <f t="shared" si="902"/>
        <v>-</v>
      </c>
      <c r="J1473" s="1">
        <f t="shared" si="902"/>
        <v>0.11343753121307444</v>
      </c>
      <c r="K1473" s="1">
        <f t="shared" si="902"/>
        <v>0.11317305976228664</v>
      </c>
    </row>
    <row r="1474" spans="2:11" x14ac:dyDescent="0.35">
      <c r="B1474" s="5" t="str">
        <f t="shared" si="888"/>
        <v>SPS2</v>
      </c>
      <c r="C1474" s="5" t="str">
        <f t="shared" si="885"/>
        <v>CH</v>
      </c>
      <c r="D1474" t="s">
        <v>1465</v>
      </c>
      <c r="E1474" t="s">
        <v>1230</v>
      </c>
      <c r="F1474" s="1">
        <f t="shared" ref="F1474:K1474" si="903">IFERROR(F1450/F1421,"-")</f>
        <v>5.7949527986548621E-2</v>
      </c>
      <c r="G1474" s="1">
        <f t="shared" si="903"/>
        <v>5.8172899500069229E-2</v>
      </c>
      <c r="H1474" s="1">
        <f t="shared" si="903"/>
        <v>5.8170330433842031E-2</v>
      </c>
      <c r="I1474" s="1" t="str">
        <f t="shared" si="903"/>
        <v>-</v>
      </c>
      <c r="J1474" s="1" t="str">
        <f t="shared" si="903"/>
        <v>-</v>
      </c>
      <c r="K1474" s="1" t="str">
        <f t="shared" si="903"/>
        <v>-</v>
      </c>
    </row>
    <row r="1475" spans="2:11" x14ac:dyDescent="0.35">
      <c r="B1475" s="5" t="str">
        <f t="shared" si="888"/>
        <v>SPS2</v>
      </c>
      <c r="C1475" s="5" t="str">
        <f t="shared" si="885"/>
        <v>CH</v>
      </c>
      <c r="D1475" t="s">
        <v>1466</v>
      </c>
      <c r="E1475" t="s">
        <v>1230</v>
      </c>
      <c r="F1475" s="1">
        <f t="shared" ref="F1475:K1475" si="904">IFERROR(F1451/F1422,"-")</f>
        <v>3.8646481387947441E-2</v>
      </c>
      <c r="G1475" s="1">
        <f t="shared" si="904"/>
        <v>3.8971432835325524E-2</v>
      </c>
      <c r="H1475" s="1">
        <f t="shared" si="904"/>
        <v>3.9277762055096449E-2</v>
      </c>
      <c r="I1475" s="1" t="str">
        <f t="shared" si="904"/>
        <v>-</v>
      </c>
      <c r="J1475" s="1" t="str">
        <f t="shared" si="904"/>
        <v>-</v>
      </c>
      <c r="K1475" s="1" t="str">
        <f t="shared" si="904"/>
        <v>-</v>
      </c>
    </row>
    <row r="1476" spans="2:11" x14ac:dyDescent="0.35">
      <c r="B1476" s="5" t="str">
        <f t="shared" si="888"/>
        <v>SPS2</v>
      </c>
      <c r="C1476" s="5" t="str">
        <f t="shared" si="885"/>
        <v>CH</v>
      </c>
      <c r="D1476" t="s">
        <v>2121</v>
      </c>
      <c r="E1476" t="s">
        <v>1230</v>
      </c>
      <c r="F1476" s="1">
        <f>IFERROR(F1452/F1428,"-")</f>
        <v>9.9502495941956628</v>
      </c>
      <c r="G1476" s="1">
        <f t="shared" ref="G1476:K1476" si="905">IFERROR(G1452/G1428,"-")</f>
        <v>7.9767976048237381</v>
      </c>
      <c r="H1476" s="1">
        <f t="shared" si="905"/>
        <v>5.0166196207658702</v>
      </c>
      <c r="I1476" s="1" t="str">
        <f t="shared" si="905"/>
        <v>-</v>
      </c>
      <c r="J1476" s="1" t="str">
        <f t="shared" si="905"/>
        <v>-</v>
      </c>
      <c r="K1476" s="1" t="str">
        <f t="shared" si="905"/>
        <v>-</v>
      </c>
    </row>
    <row r="1477" spans="2:11" x14ac:dyDescent="0.35">
      <c r="B1477" s="5" t="str">
        <f t="shared" si="888"/>
        <v>SPS2</v>
      </c>
      <c r="C1477" s="5" t="str">
        <f t="shared" si="885"/>
        <v>CH</v>
      </c>
      <c r="D1477" t="s">
        <v>1467</v>
      </c>
      <c r="E1477" t="s">
        <v>1230</v>
      </c>
      <c r="F1477" s="1" t="str">
        <f t="shared" ref="F1477:K1477" si="906">IFERROR(F1453/F1429,"-")</f>
        <v>-</v>
      </c>
      <c r="G1477" s="1">
        <f t="shared" si="906"/>
        <v>0.12023751974847217</v>
      </c>
      <c r="H1477" s="1">
        <f t="shared" si="906"/>
        <v>0.12189734764232417</v>
      </c>
      <c r="I1477" s="1">
        <f t="shared" si="906"/>
        <v>0.12876730788727878</v>
      </c>
      <c r="J1477" s="1">
        <f t="shared" si="906"/>
        <v>0.15290988452940496</v>
      </c>
      <c r="K1477" s="1">
        <f t="shared" si="906"/>
        <v>0.15290988452940502</v>
      </c>
    </row>
    <row r="1478" spans="2:11" x14ac:dyDescent="0.35">
      <c r="B1478" s="5" t="str">
        <f t="shared" si="888"/>
        <v>SPS2</v>
      </c>
      <c r="C1478" s="5" t="str">
        <f t="shared" si="885"/>
        <v>CH</v>
      </c>
      <c r="D1478" t="s">
        <v>1468</v>
      </c>
      <c r="E1478" t="s">
        <v>1230</v>
      </c>
      <c r="F1478" s="1" t="str">
        <f t="shared" ref="F1478:K1478" si="907">IFERROR(F1454/F1430,"-")</f>
        <v>-</v>
      </c>
      <c r="G1478" s="1">
        <f t="shared" si="907"/>
        <v>8.4998076233608805E-2</v>
      </c>
      <c r="H1478" s="1">
        <f t="shared" si="907"/>
        <v>8.758108652949953E-2</v>
      </c>
      <c r="I1478" s="1">
        <f t="shared" si="907"/>
        <v>9.1846365514605108E-2</v>
      </c>
      <c r="J1478" s="1">
        <f t="shared" si="907"/>
        <v>0.10690580004720143</v>
      </c>
      <c r="K1478" s="1">
        <f t="shared" si="907"/>
        <v>0.10690580004720147</v>
      </c>
    </row>
    <row r="1479" spans="2:11" x14ac:dyDescent="0.35">
      <c r="B1479" s="5" t="str">
        <f t="shared" si="888"/>
        <v>SPS2</v>
      </c>
      <c r="C1479" s="5" t="str">
        <f t="shared" si="885"/>
        <v>CH</v>
      </c>
      <c r="D1479" t="s">
        <v>1469</v>
      </c>
      <c r="E1479" t="s">
        <v>1230</v>
      </c>
      <c r="F1479" s="1" t="str">
        <f t="shared" ref="F1479:K1479" si="908">IFERROR(F1455/F1431,"-")</f>
        <v>-</v>
      </c>
      <c r="G1479" s="1">
        <f t="shared" si="908"/>
        <v>5.6422133461237124E-2</v>
      </c>
      <c r="H1479" s="1">
        <f t="shared" si="908"/>
        <v>5.8060968171426315E-2</v>
      </c>
      <c r="I1479" s="1" t="str">
        <f t="shared" si="908"/>
        <v>-</v>
      </c>
      <c r="J1479" s="1">
        <f t="shared" si="908"/>
        <v>7.0958063870597443E-2</v>
      </c>
      <c r="K1479" s="1" t="str">
        <f t="shared" si="908"/>
        <v>-</v>
      </c>
    </row>
    <row r="1480" spans="2:11" x14ac:dyDescent="0.35">
      <c r="B1480" s="5" t="str">
        <f t="shared" si="888"/>
        <v>SPS2</v>
      </c>
      <c r="C1480" s="5" t="str">
        <f t="shared" si="885"/>
        <v>CH</v>
      </c>
      <c r="D1480" t="s">
        <v>1470</v>
      </c>
      <c r="E1480" t="s">
        <v>1230</v>
      </c>
      <c r="F1480" s="1" t="str">
        <f t="shared" ref="F1480:K1480" si="909">IFERROR(F1456/F1432,"-")</f>
        <v>-</v>
      </c>
      <c r="G1480" s="1">
        <f t="shared" si="909"/>
        <v>3.7689157759834349E-2</v>
      </c>
      <c r="H1480" s="1">
        <f t="shared" si="909"/>
        <v>3.8687985412959099E-2</v>
      </c>
      <c r="I1480" s="1" t="str">
        <f t="shared" si="909"/>
        <v>-</v>
      </c>
      <c r="J1480" s="1">
        <f t="shared" si="909"/>
        <v>4.7499172390542459E-2</v>
      </c>
      <c r="K1480" s="1" t="str">
        <f t="shared" si="909"/>
        <v>-</v>
      </c>
    </row>
    <row r="1481" spans="2:11" x14ac:dyDescent="0.35">
      <c r="B1481" s="9" t="str">
        <f t="shared" si="888"/>
        <v>SPS2</v>
      </c>
      <c r="C1481" s="9" t="str">
        <f>C1480</f>
        <v>CH</v>
      </c>
      <c r="D1481" s="2" t="s">
        <v>1474</v>
      </c>
      <c r="E1481" s="2" t="s">
        <v>8</v>
      </c>
      <c r="F1481" s="3">
        <f>F1482</f>
        <v>0.2816422643485601</v>
      </c>
      <c r="G1481" s="3">
        <f t="shared" ref="G1481:K1481" si="910">G1482</f>
        <v>0.30668648626079364</v>
      </c>
      <c r="H1481" s="3">
        <f t="shared" si="910"/>
        <v>0.35149986092475399</v>
      </c>
      <c r="I1481" s="3">
        <f t="shared" si="910"/>
        <v>0.45078090930791764</v>
      </c>
      <c r="J1481" s="3">
        <f t="shared" si="910"/>
        <v>0.47237229295618205</v>
      </c>
      <c r="K1481" s="3">
        <f t="shared" si="910"/>
        <v>0.48809144422268164</v>
      </c>
    </row>
    <row r="1482" spans="2:11" x14ac:dyDescent="0.35">
      <c r="B1482" s="5" t="str">
        <f t="shared" si="888"/>
        <v>SPS2</v>
      </c>
      <c r="C1482" s="5" t="str">
        <f>C1481</f>
        <v>CH</v>
      </c>
      <c r="D1482" t="s">
        <v>1475</v>
      </c>
      <c r="E1482" t="s">
        <v>8</v>
      </c>
      <c r="F1482" s="1">
        <f>F1483</f>
        <v>0.2816422643485601</v>
      </c>
      <c r="G1482" s="1">
        <f t="shared" ref="G1482:K1482" si="911">G1483</f>
        <v>0.30668648626079364</v>
      </c>
      <c r="H1482" s="1">
        <f t="shared" si="911"/>
        <v>0.35149986092475399</v>
      </c>
      <c r="I1482" s="1">
        <f t="shared" si="911"/>
        <v>0.45078090930791764</v>
      </c>
      <c r="J1482" s="1">
        <f t="shared" si="911"/>
        <v>0.47237229295618205</v>
      </c>
      <c r="K1482" s="1">
        <f t="shared" si="911"/>
        <v>0.48809144422268164</v>
      </c>
    </row>
    <row r="1483" spans="2:11" x14ac:dyDescent="0.35">
      <c r="B1483" s="5" t="str">
        <f t="shared" si="888"/>
        <v>SPS2</v>
      </c>
      <c r="C1483" s="5" t="str">
        <f t="shared" ref="C1483" si="912">C1482</f>
        <v>CH</v>
      </c>
      <c r="D1483" t="s">
        <v>1476</v>
      </c>
      <c r="E1483" t="s">
        <v>8</v>
      </c>
      <c r="F1483" s="1" cm="1">
        <f t="array" ref="F1483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3" s="1" cm="1">
        <f t="array" ref="G1483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3" s="1" cm="1">
        <f t="array" ref="H1483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3" s="1" cm="1">
        <f t="array" ref="I1483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3" s="1" cm="1">
        <f t="array" ref="J1483">SUMPRODUCT(("T_TRLY_ELC"=[1]OUT_TransportEnergyCons!$A$3:$A$1000)*1,("Var_Fin"=[1]OUT_TransportEnergyCons!$B$3:$B$1000)*1,ISNUMBER(SEARCH("ELC",[1]OUT_TransportEnergyCons!$C$3:$C$1000))*1,[1]OUT_TransportEnergyCons!H$3:H$1000)</f>
        <v>0.47237229295618205</v>
      </c>
      <c r="K1483" s="1" cm="1">
        <f t="array" ref="K1483">SUMPRODUCT(("T_TRLY_ELC"=[1]OUT_TransportEnergyCons!$A$3:$A$1000)*1,("Var_Fin"=[1]OUT_TransportEnergyCons!$B$3:$B$1000)*1,ISNUMBER(SEARCH("ELC",[1]OUT_TransportEnergyCons!$C$3:$C$1000))*1,[1]OUT_TransportEnergyCons!I$3:I$1000)</f>
        <v>0.48809144422268164</v>
      </c>
    </row>
    <row r="1484" spans="2:11" x14ac:dyDescent="0.35">
      <c r="B1484" s="9" t="str">
        <f t="shared" si="888"/>
        <v>SPS2</v>
      </c>
      <c r="C1484" s="9" t="str">
        <f t="shared" ref="C1484:C1487" si="913">C1483</f>
        <v>CH</v>
      </c>
      <c r="D1484" s="2" t="s">
        <v>1479</v>
      </c>
      <c r="E1484" s="2" t="s">
        <v>1132</v>
      </c>
      <c r="F1484" s="3">
        <f>F1485</f>
        <v>2.7120999999999972E-2</v>
      </c>
      <c r="G1484" s="3">
        <f t="shared" ref="G1484:K1484" si="914">G1485</f>
        <v>2.7782165745480814E-2</v>
      </c>
      <c r="H1484" s="3">
        <f t="shared" si="914"/>
        <v>2.8832315767707572E-2</v>
      </c>
      <c r="I1484" s="3">
        <f t="shared" si="914"/>
        <v>3.0543631535415186E-2</v>
      </c>
      <c r="J1484" s="3">
        <f t="shared" si="914"/>
        <v>3.2006602244411902E-2</v>
      </c>
      <c r="K1484" s="3">
        <f t="shared" si="914"/>
        <v>3.3071687199031086E-2</v>
      </c>
    </row>
    <row r="1485" spans="2:11" x14ac:dyDescent="0.35">
      <c r="B1485" s="5" t="str">
        <f t="shared" si="888"/>
        <v>SPS2</v>
      </c>
      <c r="C1485" s="5" t="str">
        <f t="shared" si="913"/>
        <v>CH</v>
      </c>
      <c r="D1485" t="s">
        <v>1480</v>
      </c>
      <c r="E1485" t="s">
        <v>1132</v>
      </c>
      <c r="F1485" s="1" cm="1">
        <f t="array" ref="F1485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5" s="1" cm="1">
        <f t="array" ref="G1485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5" s="1" cm="1">
        <f t="array" ref="H1485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5" s="1" cm="1">
        <f t="array" ref="I1485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5" s="1" cm="1">
        <f t="array" ref="J1485">SUMPRODUCT(("T_TRLY_ELC"=[1]OUT_TransportEnergyCons!$A$3:$A$1000)*1,("Var_Fout"=[1]OUT_TransportEnergyCons!$B$3:$B$1000)*1,ISNUMBER(SEARCH("tptrly",[1]OUT_TransportEnergyCons!$C$3:$C$1000))*1,[1]OUT_TransportEnergyCons!H$3:H$1000)</f>
        <v>3.2006602244411902E-2</v>
      </c>
      <c r="K1485" s="1" cm="1">
        <f t="array" ref="K1485">SUMPRODUCT(("T_TRLY_ELC"=[1]OUT_TransportEnergyCons!$A$3:$A$1000)*1,("Var_Fout"=[1]OUT_TransportEnergyCons!$B$3:$B$1000)*1,ISNUMBER(SEARCH("tptrly",[1]OUT_TransportEnergyCons!$C$3:$C$1000))*1,[1]OUT_TransportEnergyCons!I$3:I$1000)</f>
        <v>3.3071687199031086E-2</v>
      </c>
    </row>
    <row r="1486" spans="2:11" x14ac:dyDescent="0.35">
      <c r="B1486" s="9" t="str">
        <f t="shared" si="888"/>
        <v>SPS2</v>
      </c>
      <c r="C1486" s="9" t="str">
        <f t="shared" si="913"/>
        <v>CH</v>
      </c>
      <c r="D1486" s="2" t="s">
        <v>1481</v>
      </c>
      <c r="E1486" s="2" t="s">
        <v>1230</v>
      </c>
      <c r="F1486" s="1" t="s">
        <v>292</v>
      </c>
      <c r="G1486" s="1" t="s">
        <v>292</v>
      </c>
      <c r="H1486" s="1" t="s">
        <v>292</v>
      </c>
      <c r="I1486" s="1" t="s">
        <v>292</v>
      </c>
      <c r="J1486" s="1" t="s">
        <v>292</v>
      </c>
      <c r="K1486" s="1" t="s">
        <v>292</v>
      </c>
    </row>
    <row r="1487" spans="2:11" x14ac:dyDescent="0.35">
      <c r="B1487" s="5" t="str">
        <f t="shared" si="888"/>
        <v>SPS2</v>
      </c>
      <c r="C1487" s="5" t="str">
        <f t="shared" si="913"/>
        <v>CH</v>
      </c>
      <c r="D1487" t="s">
        <v>1482</v>
      </c>
      <c r="E1487" t="str">
        <f>E1486</f>
        <v>km/MJ</v>
      </c>
      <c r="F1487" s="1">
        <f>F1485/F1483</f>
        <v>9.6295916604459117E-2</v>
      </c>
      <c r="G1487" s="1">
        <f t="shared" ref="G1487:K1487" si="915">G1485/G1483</f>
        <v>9.0588164102724744E-2</v>
      </c>
      <c r="H1487" s="1">
        <f t="shared" si="915"/>
        <v>8.2026535350122776E-2</v>
      </c>
      <c r="I1487" s="1">
        <f t="shared" si="915"/>
        <v>6.7757154095786171E-2</v>
      </c>
      <c r="J1487" s="1">
        <f t="shared" si="915"/>
        <v>6.7757154095786226E-2</v>
      </c>
      <c r="K1487" s="1">
        <f t="shared" si="915"/>
        <v>6.7757154095786226E-2</v>
      </c>
    </row>
    <row r="1488" spans="2:11" x14ac:dyDescent="0.35">
      <c r="B1488" s="9" t="str">
        <f t="shared" si="888"/>
        <v>SPS2</v>
      </c>
      <c r="C1488" s="9" t="str">
        <f>C1483</f>
        <v>CH</v>
      </c>
      <c r="D1488" s="2" t="s">
        <v>1473</v>
      </c>
      <c r="E1488" s="2" t="s">
        <v>8</v>
      </c>
      <c r="F1488" s="3">
        <f>F1489</f>
        <v>0.58772895164057959</v>
      </c>
      <c r="G1488" s="3">
        <f t="shared" ref="G1488:G1489" si="916">G1489</f>
        <v>0.61504030570008339</v>
      </c>
      <c r="H1488" s="3">
        <f t="shared" ref="H1488:H1489" si="917">H1489</f>
        <v>0.65830556959273911</v>
      </c>
      <c r="I1488" s="3">
        <f t="shared" ref="I1488:I1489" si="918">I1489</f>
        <v>0.7379148962536346</v>
      </c>
      <c r="J1488" s="3">
        <f t="shared" ref="J1488:J1489" si="919">J1489</f>
        <v>0.77325934733858914</v>
      </c>
      <c r="K1488" s="3">
        <f t="shared" ref="K1488:K1489" si="920">K1489</f>
        <v>0.79899112903654423</v>
      </c>
    </row>
    <row r="1489" spans="2:11" x14ac:dyDescent="0.35">
      <c r="B1489" s="5" t="str">
        <f t="shared" si="888"/>
        <v>SPS2</v>
      </c>
      <c r="C1489" s="5" t="str">
        <f>C1488</f>
        <v>CH</v>
      </c>
      <c r="D1489" t="s">
        <v>1477</v>
      </c>
      <c r="E1489" t="s">
        <v>8</v>
      </c>
      <c r="F1489" s="1">
        <f>F1490</f>
        <v>0.58772895164057959</v>
      </c>
      <c r="G1489" s="1">
        <f t="shared" si="916"/>
        <v>0.61504030570008339</v>
      </c>
      <c r="H1489" s="1">
        <f t="shared" si="917"/>
        <v>0.65830556959273911</v>
      </c>
      <c r="I1489" s="1">
        <f t="shared" si="918"/>
        <v>0.7379148962536346</v>
      </c>
      <c r="J1489" s="1">
        <f t="shared" si="919"/>
        <v>0.77325934733858914</v>
      </c>
      <c r="K1489" s="1">
        <f t="shared" si="920"/>
        <v>0.79899112903654423</v>
      </c>
    </row>
    <row r="1490" spans="2:11" x14ac:dyDescent="0.35">
      <c r="B1490" s="5" t="str">
        <f t="shared" si="888"/>
        <v>SPS2</v>
      </c>
      <c r="C1490" s="5" t="str">
        <f t="shared" ref="C1490" si="921">C1489</f>
        <v>CH</v>
      </c>
      <c r="D1490" t="s">
        <v>1478</v>
      </c>
      <c r="E1490" t="s">
        <v>8</v>
      </c>
      <c r="F1490" s="1" cm="1">
        <f t="array" ref="F1490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0" s="1" cm="1">
        <f t="array" ref="G1490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0" s="1" cm="1">
        <f t="array" ref="H1490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0" s="1" cm="1">
        <f t="array" ref="I1490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0" s="1" cm="1">
        <f t="array" ref="J1490">SUMPRODUCT(("T_TRM_ELC"=[1]OUT_TransportEnergyCons!$A$3:$A$1000)*1,("Var_Fin"=[1]OUT_TransportEnergyCons!$B$3:$B$1000)*1,ISNUMBER(SEARCH("ELC",[1]OUT_TransportEnergyCons!$C$3:$C$1000))*1,[1]OUT_TransportEnergyCons!H$3:H$1000)</f>
        <v>0.77325934733858914</v>
      </c>
      <c r="K1490" s="1" cm="1">
        <f t="array" ref="K1490">SUMPRODUCT(("T_TRM_ELC"=[1]OUT_TransportEnergyCons!$A$3:$A$1000)*1,("Var_Fin"=[1]OUT_TransportEnergyCons!$B$3:$B$1000)*1,ISNUMBER(SEARCH("ELC",[1]OUT_TransportEnergyCons!$C$3:$C$1000))*1,[1]OUT_TransportEnergyCons!I$3:I$1000)</f>
        <v>0.79899112903654423</v>
      </c>
    </row>
    <row r="1491" spans="2:11" x14ac:dyDescent="0.35">
      <c r="B1491" s="9" t="str">
        <f t="shared" si="888"/>
        <v>SPS2</v>
      </c>
      <c r="C1491" s="9" t="str">
        <f t="shared" ref="C1491:C1495" si="922">C1490</f>
        <v>CH</v>
      </c>
      <c r="D1491" s="2" t="s">
        <v>1483</v>
      </c>
      <c r="E1491" s="2" t="s">
        <v>1132</v>
      </c>
      <c r="F1491" s="3">
        <f>F1492</f>
        <v>3.3477999999999994E-2</v>
      </c>
      <c r="G1491" s="3">
        <f t="shared" ref="G1491" si="923">G1492</f>
        <v>3.4238693943285006E-2</v>
      </c>
      <c r="H1491" s="3">
        <f t="shared" ref="H1491" si="924">H1492</f>
        <v>3.5370833501607003E-2</v>
      </c>
      <c r="I1491" s="3">
        <f t="shared" ref="I1491" si="925">I1492</f>
        <v>3.726366700321395E-2</v>
      </c>
      <c r="J1491" s="3">
        <f t="shared" ref="J1491" si="926">J1492</f>
        <v>3.9048512196511807E-2</v>
      </c>
      <c r="K1491" s="3">
        <f t="shared" ref="K1491" si="927">K1492</f>
        <v>4.0347931071859175E-2</v>
      </c>
    </row>
    <row r="1492" spans="2:11" x14ac:dyDescent="0.35">
      <c r="B1492" s="5" t="str">
        <f t="shared" si="888"/>
        <v>SPS2</v>
      </c>
      <c r="C1492" s="5" t="str">
        <f t="shared" si="922"/>
        <v>CH</v>
      </c>
      <c r="D1492" t="s">
        <v>1484</v>
      </c>
      <c r="E1492" t="s">
        <v>1132</v>
      </c>
      <c r="F1492" s="1" cm="1">
        <f t="array" ref="F1492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2" s="1" cm="1">
        <f t="array" ref="G1492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2" s="1" cm="1">
        <f t="array" ref="H1492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2" s="1" cm="1">
        <f t="array" ref="I1492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2" s="1" cm="1">
        <f t="array" ref="J1492">SUMPRODUCT(("T_TRM_ELC"=[1]OUT_TransportEnergyCons!$A$3:$A$1000)*1,("Var_Fout"=[1]OUT_TransportEnergyCons!$B$3:$B$1000)*1,ISNUMBER(SEARCH("tptrm",[1]OUT_TransportEnergyCons!$C$3:$C$1000))*1,[1]OUT_TransportEnergyCons!H$3:H$1000)</f>
        <v>3.9048512196511807E-2</v>
      </c>
      <c r="K1492" s="1" cm="1">
        <f t="array" ref="K1492">SUMPRODUCT(("T_TRM_ELC"=[1]OUT_TransportEnergyCons!$A$3:$A$1000)*1,("Var_Fout"=[1]OUT_TransportEnergyCons!$B$3:$B$1000)*1,ISNUMBER(SEARCH("tptrm",[1]OUT_TransportEnergyCons!$C$3:$C$1000))*1,[1]OUT_TransportEnergyCons!I$3:I$1000)</f>
        <v>4.0347931071859175E-2</v>
      </c>
    </row>
    <row r="1493" spans="2:11" x14ac:dyDescent="0.35">
      <c r="B1493" s="9" t="str">
        <f t="shared" si="888"/>
        <v>SPS2</v>
      </c>
      <c r="C1493" s="9" t="str">
        <f t="shared" si="922"/>
        <v>CH</v>
      </c>
      <c r="D1493" s="2" t="s">
        <v>1485</v>
      </c>
      <c r="E1493" s="2" t="s">
        <v>1230</v>
      </c>
      <c r="F1493" s="1" t="s">
        <v>292</v>
      </c>
      <c r="G1493" s="1" t="s">
        <v>292</v>
      </c>
      <c r="H1493" s="1" t="s">
        <v>292</v>
      </c>
      <c r="I1493" s="1" t="s">
        <v>292</v>
      </c>
      <c r="J1493" s="1" t="s">
        <v>292</v>
      </c>
      <c r="K1493" s="1" t="s">
        <v>292</v>
      </c>
    </row>
    <row r="1494" spans="2:11" x14ac:dyDescent="0.35">
      <c r="B1494" s="5" t="str">
        <f t="shared" si="888"/>
        <v>SPS2</v>
      </c>
      <c r="C1494" s="5" t="str">
        <f t="shared" si="922"/>
        <v>CH</v>
      </c>
      <c r="D1494" t="s">
        <v>1486</v>
      </c>
      <c r="E1494" t="str">
        <f>E1493</f>
        <v>km/MJ</v>
      </c>
      <c r="F1494" s="1">
        <f>F1492/F1490</f>
        <v>5.6961631559156484E-2</v>
      </c>
      <c r="G1494" s="1">
        <f t="shared" ref="G1494:K1494" si="928">G1492/G1490</f>
        <v>5.5669024657354849E-2</v>
      </c>
      <c r="H1494" s="1">
        <f t="shared" si="928"/>
        <v>5.3730114304652132E-2</v>
      </c>
      <c r="I1494" s="1">
        <f t="shared" si="928"/>
        <v>5.049859705014785E-2</v>
      </c>
      <c r="J1494" s="1">
        <f t="shared" si="928"/>
        <v>5.0498597050147948E-2</v>
      </c>
      <c r="K1494" s="1">
        <f t="shared" si="928"/>
        <v>5.0498597050147906E-2</v>
      </c>
    </row>
    <row r="1495" spans="2:11" x14ac:dyDescent="0.35">
      <c r="B1495" s="9" t="str">
        <f t="shared" si="888"/>
        <v>SPS2</v>
      </c>
      <c r="C1495" s="9" t="str">
        <f t="shared" si="922"/>
        <v>CH</v>
      </c>
      <c r="D1495" s="2" t="s">
        <v>1488</v>
      </c>
      <c r="E1495" s="2" t="s">
        <v>8</v>
      </c>
      <c r="F1495" s="3">
        <f>SUM(F1496,F1501,F1506)</f>
        <v>2.3997385649747707</v>
      </c>
      <c r="G1495" s="3">
        <f t="shared" ref="G1495:K1495" si="929">SUM(G1496,G1501,G1506)</f>
        <v>2.1564619876886573</v>
      </c>
      <c r="H1495" s="3">
        <f t="shared" si="929"/>
        <v>1.8756747955047504</v>
      </c>
      <c r="I1495" s="3">
        <f t="shared" si="929"/>
        <v>1.4816266593162912</v>
      </c>
      <c r="J1495" s="3">
        <f t="shared" si="929"/>
        <v>0.42479539503632269</v>
      </c>
      <c r="K1495" s="3">
        <f t="shared" si="929"/>
        <v>0.17769151998537028</v>
      </c>
    </row>
    <row r="1496" spans="2:11" x14ac:dyDescent="0.35">
      <c r="B1496" s="5" t="str">
        <f t="shared" si="888"/>
        <v>SPS2</v>
      </c>
      <c r="C1496" t="str">
        <f t="shared" ref="C1496:C1500" si="930">C1495</f>
        <v>CH</v>
      </c>
      <c r="D1496" t="s">
        <v>1489</v>
      </c>
      <c r="E1496" t="str">
        <f>E1495</f>
        <v>PJ/yr.</v>
      </c>
      <c r="F1496" s="1">
        <f>SUM(F1497:F1500)</f>
        <v>3.2323662647684367E-3</v>
      </c>
      <c r="G1496" s="1">
        <f t="shared" ref="G1496:K1496" si="931">SUM(G1497:G1500)</f>
        <v>4.6817362922978965E-3</v>
      </c>
      <c r="H1496" s="1">
        <f t="shared" si="931"/>
        <v>5.4237003296224977E-3</v>
      </c>
      <c r="I1496" s="1">
        <f t="shared" si="931"/>
        <v>6.2964725332113379E-3</v>
      </c>
      <c r="J1496" s="1">
        <f t="shared" si="931"/>
        <v>0.13961891426636769</v>
      </c>
      <c r="K1496" s="1">
        <f t="shared" si="931"/>
        <v>0.15942265347198986</v>
      </c>
    </row>
    <row r="1497" spans="2:11" x14ac:dyDescent="0.35">
      <c r="B1497" t="str">
        <f t="shared" si="888"/>
        <v>SPS2</v>
      </c>
      <c r="C1497" t="str">
        <f t="shared" si="930"/>
        <v>CH</v>
      </c>
      <c r="D1497" t="s">
        <v>1490</v>
      </c>
      <c r="E1497" t="str">
        <f t="shared" ref="E1497:E1500" si="932">E1496</f>
        <v>PJ/yr.</v>
      </c>
      <c r="F1497" s="1" cm="1">
        <f t="array" ref="F1497">SUMPRODUCT(("T_TW-BEVELC-S1"=[1]OUT_TransportEnergyCons!$A$3:$A$1000)*1,("Var_Fin"=[1]OUT_TransportEnergyCons!$B$3:$B$1000)*1,ISNUMBER(SEARCH("ELC",[1]OUT_TransportEnergyCons!$C$3:$C$1000))*1,[1]OUT_TransportEnergyCons!D$3:D$1000)</f>
        <v>2.3341917356200954E-3</v>
      </c>
      <c r="G1497" s="1" cm="1">
        <f t="array" ref="G1497">SUMPRODUCT(("T_TW-BEVELC-S1"=[1]OUT_TransportEnergyCons!$A$3:$A$1000)*1,("Var_Fin"=[1]OUT_TransportEnergyCons!$B$3:$B$1000)*1,ISNUMBER(SEARCH("ELC",[1]OUT_TransportEnergyCons!$C$3:$C$1000))*1,[1]OUT_TransportEnergyCons!E$3:E$1000)</f>
        <v>3.2060928629555323E-3</v>
      </c>
      <c r="H1497" s="1" cm="1">
        <f t="array" ref="H1497">SUMPRODUCT(("T_TW-BEVELC-S1"=[1]OUT_TransportEnergyCons!$A$3:$A$1000)*1,("Var_Fin"=[1]OUT_TransportEnergyCons!$B$3:$B$1000)*1,ISNUMBER(SEARCH("ELC",[1]OUT_TransportEnergyCons!$C$3:$C$1000))*1,[1]OUT_TransportEnergyCons!F$3:F$1000)</f>
        <v>3.5395408123932103E-3</v>
      </c>
      <c r="I1497" s="1" cm="1">
        <f t="array" ref="I1497">SUMPRODUCT(("T_TW-BEVELC-S1"=[1]OUT_TransportEnergyCons!$A$3:$A$1000)*1,("Var_Fin"=[1]OUT_TransportEnergyCons!$B$3:$B$1000)*1,ISNUMBER(SEARCH("ELC",[1]OUT_TransportEnergyCons!$C$3:$C$1000))*1,[1]OUT_TransportEnergyCons!G$3:G$1000)</f>
        <v>4.0107041432281424E-3</v>
      </c>
      <c r="J1497" s="1" cm="1">
        <f t="array" ref="J1497">SUMPRODUCT(("T_TW-BEVELC-S1"=[1]OUT_TransportEnergyCons!$A$3:$A$1000)*1,("Var_Fin"=[1]OUT_TransportEnergyCons!$B$3:$B$1000)*1,ISNUMBER(SEARCH("ELC",[1]OUT_TransportEnergyCons!$C$3:$C$1000))*1,[1]OUT_TransportEnergyCons!H$3:H$1000)</f>
        <v>0.13741476359596971</v>
      </c>
      <c r="K1497" s="1" cm="1">
        <f t="array" ref="K1497">SUMPRODUCT(("T_TW-BEVELC-S1"=[1]OUT_TransportEnergyCons!$A$3:$A$1000)*1,("Var_Fin"=[1]OUT_TransportEnergyCons!$B$3:$B$1000)*1,ISNUMBER(SEARCH("ELC",[1]OUT_TransportEnergyCons!$C$3:$C$1000))*1,[1]OUT_TransportEnergyCons!I$3:I$1000)</f>
        <v>0.15809622292387515</v>
      </c>
    </row>
    <row r="1498" spans="2:11" x14ac:dyDescent="0.35">
      <c r="B1498" t="str">
        <f t="shared" si="888"/>
        <v>SPS2</v>
      </c>
      <c r="C1498" t="str">
        <f t="shared" si="930"/>
        <v>CH</v>
      </c>
      <c r="D1498" t="s">
        <v>1491</v>
      </c>
      <c r="E1498" t="str">
        <f t="shared" si="932"/>
        <v>PJ/yr.</v>
      </c>
      <c r="F1498" s="1" cm="1">
        <f t="array" ref="F1498">SUMPRODUCT(("T_TW-BEVELC-S2"=[1]OUT_TransportEnergyCons!$A$3:$A$1000)*1,("Var_Fin"=[1]OUT_TransportEnergyCons!$B$3:$B$1000)*1,ISNUMBER(SEARCH("ELC",[1]OUT_TransportEnergyCons!$C$3:$C$1000))*1,[1]OUT_TransportEnergyCons!D$3:D$1000)</f>
        <v>4.6276111778026038E-4</v>
      </c>
      <c r="G1498" s="1" cm="1">
        <f t="array" ref="G1498">SUMPRODUCT(("T_TW-BEVELC-S2"=[1]OUT_TransportEnergyCons!$A$3:$A$1000)*1,("Var_Fin"=[1]OUT_TransportEnergyCons!$B$3:$B$1000)*1,ISNUMBER(SEARCH("ELC",[1]OUT_TransportEnergyCons!$C$3:$C$1000))*1,[1]OUT_TransportEnergyCons!E$3:E$1000)</f>
        <v>6.8980934424776701E-4</v>
      </c>
      <c r="H1498" s="1" cm="1">
        <f t="array" ref="H1498">SUMPRODUCT(("T_TW-BEVELC-S2"=[1]OUT_TransportEnergyCons!$A$3:$A$1000)*1,("Var_Fin"=[1]OUT_TransportEnergyCons!$B$3:$B$1000)*1,ISNUMBER(SEARCH("ELC",[1]OUT_TransportEnergyCons!$C$3:$C$1000))*1,[1]OUT_TransportEnergyCons!F$3:F$1000)</f>
        <v>8.3209964744143075E-4</v>
      </c>
      <c r="I1498" s="1" cm="1">
        <f t="array" ref="I1498">SUMPRODUCT(("T_TW-BEVELC-S2"=[1]OUT_TransportEnergyCons!$A$3:$A$1000)*1,("Var_Fin"=[1]OUT_TransportEnergyCons!$B$3:$B$1000)*1,ISNUMBER(SEARCH("ELC",[1]OUT_TransportEnergyCons!$C$3:$C$1000))*1,[1]OUT_TransportEnergyCons!G$3:G$1000)</f>
        <v>9.7352065009245618E-4</v>
      </c>
      <c r="J1498" s="1" cm="1">
        <f t="array" ref="J1498">SUMPRODUCT(("T_TW-BEVELC-S2"=[1]OUT_TransportEnergyCons!$A$3:$A$1000)*1,("Var_Fin"=[1]OUT_TransportEnergyCons!$B$3:$B$1000)*1,ISNUMBER(SEARCH("ELC",[1]OUT_TransportEnergyCons!$C$3:$C$1000))*1,[1]OUT_TransportEnergyCons!H$3:H$1000)</f>
        <v>6.6486392945635717E-4</v>
      </c>
      <c r="K1498" s="1" cm="1">
        <f t="array" ref="K1498">SUMPRODUCT(("T_TW-BEVELC-S2"=[1]OUT_TransportEnergyCons!$A$3:$A$1000)*1,("Var_Fin"=[1]OUT_TransportEnergyCons!$B$3:$B$1000)*1,ISNUMBER(SEARCH("ELC",[1]OUT_TransportEnergyCons!$C$3:$C$1000))*1,[1]OUT_TransportEnergyCons!I$3:I$1000)</f>
        <v>4.3136773259707935E-4</v>
      </c>
    </row>
    <row r="1499" spans="2:11" x14ac:dyDescent="0.35">
      <c r="B1499" t="str">
        <f t="shared" si="888"/>
        <v>SPS2</v>
      </c>
      <c r="C1499" t="str">
        <f t="shared" si="930"/>
        <v>CH</v>
      </c>
      <c r="D1499" t="s">
        <v>1493</v>
      </c>
      <c r="E1499" t="str">
        <f t="shared" si="932"/>
        <v>PJ/yr.</v>
      </c>
      <c r="F1499" s="1" cm="1">
        <f t="array" ref="F1499">SUMPRODUCT(("T_TW-BEVELC-S3"=[1]OUT_TransportEnergyCons!$A$3:$A$1000)*1,("Var_Fin"=[1]OUT_TransportEnergyCons!$B$3:$B$1000)*1,ISNUMBER(SEARCH("ELC",[1]OUT_TransportEnergyCons!$C$3:$C$1000))*1,[1]OUT_TransportEnergyCons!D$3:D$1000)</f>
        <v>2.0044960063034885E-4</v>
      </c>
      <c r="G1499" s="1" cm="1">
        <f t="array" ref="G1499">SUMPRODUCT(("T_TW-BEVELC-S3"=[1]OUT_TransportEnergyCons!$A$3:$A$1000)*1,("Var_Fin"=[1]OUT_TransportEnergyCons!$B$3:$B$1000)*1,ISNUMBER(SEARCH("ELC",[1]OUT_TransportEnergyCons!$C$3:$C$1000))*1,[1]OUT_TransportEnergyCons!E$3:E$1000)</f>
        <v>3.7457698589863335E-4</v>
      </c>
      <c r="H1499" s="1" cm="1">
        <f t="array" ref="H1499">SUMPRODUCT(("T_TW-BEVELC-S3"=[1]OUT_TransportEnergyCons!$A$3:$A$1000)*1,("Var_Fin"=[1]OUT_TransportEnergyCons!$B$3:$B$1000)*1,ISNUMBER(SEARCH("ELC",[1]OUT_TransportEnergyCons!$C$3:$C$1000))*1,[1]OUT_TransportEnergyCons!F$3:F$1000)</f>
        <v>4.9409344874494791E-4</v>
      </c>
      <c r="I1499" s="1" cm="1">
        <f t="array" ref="I1499">SUMPRODUCT(("T_TW-BEVELC-S3"=[1]OUT_TransportEnergyCons!$A$3:$A$1000)*1,("Var_Fin"=[1]OUT_TransportEnergyCons!$B$3:$B$1000)*1,ISNUMBER(SEARCH("ELC",[1]OUT_TransportEnergyCons!$C$3:$C$1000))*1,[1]OUT_TransportEnergyCons!G$3:G$1000)</f>
        <v>6.2715743141541949E-4</v>
      </c>
      <c r="J1499" s="1" cm="1">
        <f t="array" ref="J1499">SUMPRODUCT(("T_TW-BEVELC-S3"=[1]OUT_TransportEnergyCons!$A$3:$A$1000)*1,("Var_Fin"=[1]OUT_TransportEnergyCons!$B$3:$B$1000)*1,ISNUMBER(SEARCH("ELC",[1]OUT_TransportEnergyCons!$C$3:$C$1000))*1,[1]OUT_TransportEnergyCons!H$3:H$1000)</f>
        <v>6.3685140641506113E-4</v>
      </c>
      <c r="K1499" s="1" cm="1">
        <f t="array" ref="K1499">SUMPRODUCT(("T_TW-BEVELC-S3"=[1]OUT_TransportEnergyCons!$A$3:$A$1000)*1,("Var_Fin"=[1]OUT_TransportEnergyCons!$B$3:$B$1000)*1,ISNUMBER(SEARCH("ELC",[1]OUT_TransportEnergyCons!$C$3:$C$1000))*1,[1]OUT_TransportEnergyCons!I$3:I$1000)</f>
        <v>3.4758129675462827E-4</v>
      </c>
    </row>
    <row r="1500" spans="2:11" x14ac:dyDescent="0.35">
      <c r="B1500" t="str">
        <f t="shared" si="888"/>
        <v>SPS2</v>
      </c>
      <c r="C1500" t="str">
        <f t="shared" si="930"/>
        <v>CH</v>
      </c>
      <c r="D1500" t="s">
        <v>1492</v>
      </c>
      <c r="E1500" t="str">
        <f t="shared" si="932"/>
        <v>PJ/yr.</v>
      </c>
      <c r="F1500" s="1" cm="1">
        <f t="array" ref="F1500">SUMPRODUCT(("T_TW-BEVELC-S4"=[1]OUT_TransportEnergyCons!$A$3:$A$1000)*1,("Var_Fin"=[1]OUT_TransportEnergyCons!$B$3:$B$1000)*1,ISNUMBER(SEARCH("ELC",[1]OUT_TransportEnergyCons!$C$3:$C$1000))*1,[1]OUT_TransportEnergyCons!D$3:D$1000)</f>
        <v>2.3496381073773225E-4</v>
      </c>
      <c r="G1500" s="1" cm="1">
        <f t="array" ref="G1500">SUMPRODUCT(("T_TW-BEVELC-S4"=[1]OUT_TransportEnergyCons!$A$3:$A$1000)*1,("Var_Fin"=[1]OUT_TransportEnergyCons!$B$3:$B$1000)*1,ISNUMBER(SEARCH("ELC",[1]OUT_TransportEnergyCons!$C$3:$C$1000))*1,[1]OUT_TransportEnergyCons!E$3:E$1000)</f>
        <v>4.1125709919596432E-4</v>
      </c>
      <c r="H1500" s="1" cm="1">
        <f t="array" ref="H1500">SUMPRODUCT(("T_TW-BEVELC-S4"=[1]OUT_TransportEnergyCons!$A$3:$A$1000)*1,("Var_Fin"=[1]OUT_TransportEnergyCons!$B$3:$B$1000)*1,ISNUMBER(SEARCH("ELC",[1]OUT_TransportEnergyCons!$C$3:$C$1000))*1,[1]OUT_TransportEnergyCons!F$3:F$1000)</f>
        <v>5.5796642104290867E-4</v>
      </c>
      <c r="I1500" s="1" cm="1">
        <f t="array" ref="I1500">SUMPRODUCT(("T_TW-BEVELC-S4"=[1]OUT_TransportEnergyCons!$A$3:$A$1000)*1,("Var_Fin"=[1]OUT_TransportEnergyCons!$B$3:$B$1000)*1,ISNUMBER(SEARCH("ELC",[1]OUT_TransportEnergyCons!$C$3:$C$1000))*1,[1]OUT_TransportEnergyCons!G$3:G$1000)</f>
        <v>6.8509030847531979E-4</v>
      </c>
      <c r="J1500" s="1" cm="1">
        <f t="array" ref="J1500">SUMPRODUCT(("T_TW-BEVELC-S4"=[1]OUT_TransportEnergyCons!$A$3:$A$1000)*1,("Var_Fin"=[1]OUT_TransportEnergyCons!$B$3:$B$1000)*1,ISNUMBER(SEARCH("ELC",[1]OUT_TransportEnergyCons!$C$3:$C$1000))*1,[1]OUT_TransportEnergyCons!H$3:H$1000)</f>
        <v>9.0243533452655776E-4</v>
      </c>
      <c r="K1500" s="1" cm="1">
        <f t="array" ref="K1500">SUMPRODUCT(("T_TW-BEVELC-S4"=[1]OUT_TransportEnergyCons!$A$3:$A$1000)*1,("Var_Fin"=[1]OUT_TransportEnergyCons!$B$3:$B$1000)*1,ISNUMBER(SEARCH("ELC",[1]OUT_TransportEnergyCons!$C$3:$C$1000))*1,[1]OUT_TransportEnergyCons!I$3:I$1000)</f>
        <v>5.4748151876300006E-4</v>
      </c>
    </row>
    <row r="1501" spans="2:11" x14ac:dyDescent="0.35">
      <c r="B1501" s="5" t="str">
        <f t="shared" si="888"/>
        <v>SPS2</v>
      </c>
      <c r="C1501" t="str">
        <f t="shared" ref="C1501:C1505" si="933">C1500</f>
        <v>CH</v>
      </c>
      <c r="D1501" t="s">
        <v>1494</v>
      </c>
      <c r="E1501" t="str">
        <f>E1500</f>
        <v>PJ/yr.</v>
      </c>
      <c r="F1501" s="1">
        <f>SUM(F1502:F1505)</f>
        <v>0</v>
      </c>
      <c r="G1501" s="1">
        <f t="shared" ref="G1501:K1501" si="934">SUM(G1502:G1505)</f>
        <v>0</v>
      </c>
      <c r="H1501" s="1">
        <f t="shared" si="934"/>
        <v>0</v>
      </c>
      <c r="I1501" s="1">
        <f t="shared" si="934"/>
        <v>4.7483951068783784E-4</v>
      </c>
      <c r="J1501" s="1">
        <f t="shared" si="934"/>
        <v>1.3626600441381932E-3</v>
      </c>
      <c r="K1501" s="1">
        <f t="shared" si="934"/>
        <v>1.1646694782043881E-3</v>
      </c>
    </row>
    <row r="1502" spans="2:11" x14ac:dyDescent="0.35">
      <c r="B1502" t="str">
        <f t="shared" si="888"/>
        <v>SPS2</v>
      </c>
      <c r="C1502" t="str">
        <f t="shared" si="933"/>
        <v>CH</v>
      </c>
      <c r="D1502" t="s">
        <v>1495</v>
      </c>
      <c r="E1502" t="str">
        <f t="shared" ref="E1502:E1505" si="935">E1501</f>
        <v>PJ/yr.</v>
      </c>
      <c r="F1502" s="1" cm="1">
        <f t="array" ref="F1502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2" s="1" cm="1">
        <f t="array" ref="G1502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2" s="1" cm="1">
        <f t="array" ref="H1502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2" s="1" cm="1">
        <f t="array" ref="I1502">SUMPRODUCT(("T_TW-fclh2o-S1"=[1]OUT_TransportEnergyCons!$A$3:$A$1000)*1,("Var_Fin"=[1]OUT_TransportEnergyCons!$B$3:$B$1000)*1,ISNUMBER(SEARCH("h2",[1]OUT_TransportEnergyCons!$C$3:$C$1000))*1,[1]OUT_TransportEnergyCons!G$3:G$1000)</f>
        <v>1.7937638216906606E-4</v>
      </c>
      <c r="J1502" s="1" cm="1">
        <f t="array" ref="J1502">SUMPRODUCT(("T_TW-fclh2o-S1"=[1]OUT_TransportEnergyCons!$A$3:$A$1000)*1,("Var_Fin"=[1]OUT_TransportEnergyCons!$B$3:$B$1000)*1,ISNUMBER(SEARCH("h2",[1]OUT_TransportEnergyCons!$C$3:$C$1000))*1,[1]OUT_TransportEnergyCons!H$3:H$1000)</f>
        <v>5.1670105637653782E-4</v>
      </c>
      <c r="K1502" s="1" cm="1">
        <f t="array" ref="K1502">SUMPRODUCT(("T_TW-fclh2o-S1"=[1]OUT_TransportEnergyCons!$A$3:$A$1000)*1,("Var_Fin"=[1]OUT_TransportEnergyCons!$B$3:$B$1000)*1,ISNUMBER(SEARCH("h2",[1]OUT_TransportEnergyCons!$C$3:$C$1000))*1,[1]OUT_TransportEnergyCons!I$3:I$1000)</f>
        <v>3.831661833206861E-4</v>
      </c>
    </row>
    <row r="1503" spans="2:11" x14ac:dyDescent="0.35">
      <c r="B1503" t="str">
        <f t="shared" si="888"/>
        <v>SPS2</v>
      </c>
      <c r="C1503" t="str">
        <f t="shared" si="933"/>
        <v>CH</v>
      </c>
      <c r="D1503" t="s">
        <v>1496</v>
      </c>
      <c r="E1503" t="str">
        <f t="shared" si="935"/>
        <v>PJ/yr.</v>
      </c>
      <c r="F1503" s="1" cm="1">
        <f t="array" ref="F1503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3" s="1" cm="1">
        <f t="array" ref="G1503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3" s="1" cm="1">
        <f t="array" ref="H1503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3" s="1" cm="1">
        <f t="array" ref="I1503">SUMPRODUCT(("T_TW-fclh2o-S2"=[1]OUT_TransportEnergyCons!$A$3:$A$1000)*1,("Var_Fin"=[1]OUT_TransportEnergyCons!$B$3:$B$1000)*1,ISNUMBER(SEARCH("h2",[1]OUT_TransportEnergyCons!$C$3:$C$1000))*1,[1]OUT_TransportEnergyCons!G$3:G$1000)</f>
        <v>1.3104281789815775E-4</v>
      </c>
      <c r="J1503" s="1" cm="1">
        <f t="array" ref="J1503">SUMPRODUCT(("T_TW-fclh2o-S2"=[1]OUT_TransportEnergyCons!$A$3:$A$1000)*1,("Var_Fin"=[1]OUT_TransportEnergyCons!$B$3:$B$1000)*1,ISNUMBER(SEARCH("h2",[1]OUT_TransportEnergyCons!$C$3:$C$1000))*1,[1]OUT_TransportEnergyCons!H$3:H$1000)</f>
        <v>3.673036843520159E-4</v>
      </c>
      <c r="K1503" s="1" cm="1">
        <f t="array" ref="K1503">SUMPRODUCT(("T_TW-fclh2o-S2"=[1]OUT_TransportEnergyCons!$A$3:$A$1000)*1,("Var_Fin"=[1]OUT_TransportEnergyCons!$B$3:$B$1000)*1,ISNUMBER(SEARCH("h2",[1]OUT_TransportEnergyCons!$C$3:$C$1000))*1,[1]OUT_TransportEnergyCons!I$3:I$1000)</f>
        <v>2.651530729879203E-4</v>
      </c>
    </row>
    <row r="1504" spans="2:11" x14ac:dyDescent="0.35">
      <c r="B1504" t="str">
        <f t="shared" si="888"/>
        <v>SPS2</v>
      </c>
      <c r="C1504" t="str">
        <f t="shared" si="933"/>
        <v>CH</v>
      </c>
      <c r="D1504" t="s">
        <v>1497</v>
      </c>
      <c r="E1504" t="str">
        <f t="shared" si="935"/>
        <v>PJ/yr.</v>
      </c>
      <c r="F1504" s="1" cm="1">
        <f t="array" ref="F1504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SUMPRODUCT(("T_TW-fclh2o-S3"=[1]OUT_TransportEnergyCons!$A$3:$A$1000)*1,("Var_Fin"=[1]OUT_TransportEnergyCons!$B$3:$B$1000)*1,ISNUMBER(SEARCH("h2",[1]OUT_TransportEnergyCons!$C$3:$C$1000))*1,[1]OUT_TransportEnergyCons!G$3:G$1000)</f>
        <v>1.0663577790762902E-4</v>
      </c>
      <c r="J1504" s="1" cm="1">
        <f t="array" ref="J1504">SUMPRODUCT(("T_TW-fclh2o-S3"=[1]OUT_TransportEnergyCons!$A$3:$A$1000)*1,("Var_Fin"=[1]OUT_TransportEnergyCons!$B$3:$B$1000)*1,ISNUMBER(SEARCH("h2",[1]OUT_TransportEnergyCons!$C$3:$C$1000))*1,[1]OUT_TransportEnergyCons!H$3:H$1000)</f>
        <v>2.9963555840914409E-4</v>
      </c>
      <c r="K1504" s="1" cm="1">
        <f t="array" ref="K1504">SUMPRODUCT(("T_TW-fclh2o-S3"=[1]OUT_TransportEnergyCons!$A$3:$A$1000)*1,("Var_Fin"=[1]OUT_TransportEnergyCons!$B$3:$B$1000)*1,ISNUMBER(SEARCH("h2",[1]OUT_TransportEnergyCons!$C$3:$C$1000))*1,[1]OUT_TransportEnergyCons!I$3:I$1000)</f>
        <v>2.9456421831722235E-4</v>
      </c>
    </row>
    <row r="1505" spans="2:11" x14ac:dyDescent="0.35">
      <c r="B1505" t="str">
        <f t="shared" si="888"/>
        <v>SPS2</v>
      </c>
      <c r="C1505" t="str">
        <f t="shared" si="933"/>
        <v>CH</v>
      </c>
      <c r="D1505" t="s">
        <v>1498</v>
      </c>
      <c r="E1505" t="str">
        <f t="shared" si="935"/>
        <v>PJ/yr.</v>
      </c>
      <c r="F1505" s="1" cm="1">
        <f t="array" ref="F1505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SUMPRODUCT(("T_TW-fclh2o-S4"=[1]OUT_TransportEnergyCons!$A$3:$A$1000)*1,("Var_Fin"=[1]OUT_TransportEnergyCons!$B$3:$B$1000)*1,ISNUMBER(SEARCH("h2",[1]OUT_TransportEnergyCons!$C$3:$C$1000))*1,[1]OUT_TransportEnergyCons!G$3:G$1000)</f>
        <v>5.778453271298504E-5</v>
      </c>
      <c r="J1505" s="1" cm="1">
        <f t="array" ref="J1505">SUMPRODUCT(("T_TW-fclh2o-S4"=[1]OUT_TransportEnergyCons!$A$3:$A$1000)*1,("Var_Fin"=[1]OUT_TransportEnergyCons!$B$3:$B$1000)*1,ISNUMBER(SEARCH("h2",[1]OUT_TransportEnergyCons!$C$3:$C$1000))*1,[1]OUT_TransportEnergyCons!H$3:H$1000)</f>
        <v>1.7901974500049539E-4</v>
      </c>
      <c r="K1505" s="1" cm="1">
        <f t="array" ref="K1505">SUMPRODUCT(("T_TW-fclh2o-S4"=[1]OUT_TransportEnergyCons!$A$3:$A$1000)*1,("Var_Fin"=[1]OUT_TransportEnergyCons!$B$3:$B$1000)*1,ISNUMBER(SEARCH("h2",[1]OUT_TransportEnergyCons!$C$3:$C$1000))*1,[1]OUT_TransportEnergyCons!I$3:I$1000)</f>
        <v>2.2178600357855948E-4</v>
      </c>
    </row>
    <row r="1506" spans="2:11" x14ac:dyDescent="0.35">
      <c r="B1506" s="5" t="str">
        <f t="shared" si="888"/>
        <v>SPS2</v>
      </c>
      <c r="C1506" t="str">
        <f t="shared" ref="C1506:C1516" si="936">C1505</f>
        <v>CH</v>
      </c>
      <c r="D1506" t="s">
        <v>1499</v>
      </c>
      <c r="E1506" t="str">
        <f>E1505</f>
        <v>PJ/yr.</v>
      </c>
      <c r="F1506" s="1">
        <f>SUM(F1511:F1515)</f>
        <v>2.3965061987100023</v>
      </c>
      <c r="G1506" s="1">
        <f t="shared" ref="G1506:K1506" si="937">SUM(G1511:G1515)</f>
        <v>2.1517802513963593</v>
      </c>
      <c r="H1506" s="1">
        <f t="shared" si="937"/>
        <v>1.8702510951751279</v>
      </c>
      <c r="I1506" s="1">
        <f t="shared" si="937"/>
        <v>1.474855347272392</v>
      </c>
      <c r="J1506" s="1">
        <f t="shared" si="937"/>
        <v>0.28381382072581685</v>
      </c>
      <c r="K1506" s="1">
        <f t="shared" si="937"/>
        <v>1.7104197035176013E-2</v>
      </c>
    </row>
    <row r="1507" spans="2:11" x14ac:dyDescent="0.35">
      <c r="B1507" s="5" t="str">
        <f t="shared" si="888"/>
        <v>SPS2</v>
      </c>
      <c r="C1507" s="5" t="str">
        <f>C1506</f>
        <v>CH</v>
      </c>
      <c r="D1507" t="s">
        <v>1500</v>
      </c>
      <c r="E1507" t="str">
        <f>E1506</f>
        <v>PJ/yr.</v>
      </c>
      <c r="F1507" s="1">
        <f>F1506-F1508</f>
        <v>2.2653205768379499</v>
      </c>
      <c r="G1507" s="1">
        <f t="shared" ref="G1507:K1507" si="938">G1506-G1508</f>
        <v>2.033985574654849</v>
      </c>
      <c r="H1507" s="1">
        <f t="shared" si="938"/>
        <v>1.7678669399937952</v>
      </c>
      <c r="I1507" s="1">
        <f t="shared" si="938"/>
        <v>1.3108567485841573</v>
      </c>
      <c r="J1507" s="1">
        <f t="shared" si="938"/>
        <v>0.10112983598544856</v>
      </c>
      <c r="K1507" s="1">
        <f t="shared" si="938"/>
        <v>-2.1801647593835613E-4</v>
      </c>
    </row>
    <row r="1508" spans="2:11" x14ac:dyDescent="0.35">
      <c r="B1508" s="5" t="str">
        <f t="shared" si="888"/>
        <v>SPS2</v>
      </c>
      <c r="C1508" s="5" t="str">
        <f t="shared" ref="C1508:C1510" si="939">C1507</f>
        <v>CH</v>
      </c>
      <c r="D1508" t="s">
        <v>1501</v>
      </c>
      <c r="E1508" t="str">
        <f>E1507</f>
        <v>PJ/yr.</v>
      </c>
      <c r="F1508" s="1">
        <f>SUM(F1509:F1510)</f>
        <v>0.13118562187205229</v>
      </c>
      <c r="G1508" s="1">
        <f t="shared" ref="G1508" si="940">SUM(G1509:G1510)</f>
        <v>0.11779467674151042</v>
      </c>
      <c r="H1508" s="1">
        <f t="shared" ref="H1508" si="941">SUM(H1509:H1510)</f>
        <v>0.1023841551813328</v>
      </c>
      <c r="I1508" s="1">
        <f t="shared" ref="I1508" si="942">SUM(I1509:I1510)</f>
        <v>0.16399859868823455</v>
      </c>
      <c r="J1508" s="1">
        <f t="shared" ref="J1508" si="943">SUM(J1509:J1510)</f>
        <v>0.18268398474036829</v>
      </c>
      <c r="K1508" s="1">
        <f t="shared" ref="K1508" si="944">SUM(K1509:K1510)</f>
        <v>1.7322213511114369E-2</v>
      </c>
    </row>
    <row r="1509" spans="2:11" x14ac:dyDescent="0.35">
      <c r="B1509" s="5" t="str">
        <f t="shared" si="888"/>
        <v>SPS2</v>
      </c>
      <c r="C1509" s="5" t="str">
        <f t="shared" si="939"/>
        <v>CH</v>
      </c>
      <c r="D1509" t="s">
        <v>1502</v>
      </c>
      <c r="E1509" t="str">
        <f>E1508</f>
        <v>PJ/yr.</v>
      </c>
      <c r="F1509" s="1">
        <f>[1]Transport!B$25/SUM([1]Transport!B$21,[1]Transport!B$25)*F1506*(F$34+F$598)/(F$34+F$598+F$37)</f>
        <v>0.13118562187205229</v>
      </c>
      <c r="G1509" s="1">
        <f>[1]Transport!C$25/SUM([1]Transport!C$21,[1]Transport!C$25)*G1506*(G$34+G$598)/(G$34+G$598+G$37)</f>
        <v>0.11779467674151042</v>
      </c>
      <c r="H1509" s="1">
        <f>[1]Transport!D$25/SUM([1]Transport!D$21,[1]Transport!D$25)*H1506*(H$34+H$598)/(H$34+H$598+H$37)</f>
        <v>0.1023841551813328</v>
      </c>
      <c r="I1509" s="1">
        <f>[1]Transport!E$25/SUM([1]Transport!E$21,[1]Transport!E$25)*I1506*(I$34+I$598)/(I$34+I$598+I$37)</f>
        <v>0.16399859868823455</v>
      </c>
      <c r="J1509" s="1">
        <f>[1]Transport!F$25/SUM([1]Transport!F$21,[1]Transport!F$25)*J1506*(J$34+J$598)/(J$34+J$598+J$37)</f>
        <v>0.155125332469112</v>
      </c>
      <c r="K1509" s="1">
        <f>[1]Transport!G$25/SUM([1]Transport!G$21,[1]Transport!G$25)*K1506*(K$34+K$598)/(K$34+K$598+K$37)</f>
        <v>2.5272917996852638E-3</v>
      </c>
    </row>
    <row r="1510" spans="2:11" x14ac:dyDescent="0.35">
      <c r="B1510" s="5" t="str">
        <f t="shared" si="888"/>
        <v>SPS2</v>
      </c>
      <c r="C1510" s="5" t="str">
        <f t="shared" si="939"/>
        <v>CH</v>
      </c>
      <c r="D1510" t="s">
        <v>1503</v>
      </c>
      <c r="E1510" t="str">
        <f>E1509</f>
        <v>PJ/yr.</v>
      </c>
      <c r="F1510" s="1">
        <f>(F$37+F$717)/([1]Transport!B$21+[1]Transport!B$25)*F1506</f>
        <v>0</v>
      </c>
      <c r="G1510" s="1">
        <f>(G$37+G$717)/([1]Transport!C$21+[1]Transport!C$25)*G1506</f>
        <v>0</v>
      </c>
      <c r="H1510" s="1">
        <f>(H$37+H$717)/([1]Transport!D$21+[1]Transport!D$25)*H1506</f>
        <v>0</v>
      </c>
      <c r="I1510" s="1">
        <f>(I$37+I$717)/([1]Transport!E$21+[1]Transport!E$25)*I1506</f>
        <v>0</v>
      </c>
      <c r="J1510" s="1">
        <f>(J$37+J$717)/([1]Transport!F$21+[1]Transport!F$25)*J1506</f>
        <v>2.7558652271256277E-2</v>
      </c>
      <c r="K1510" s="1">
        <f>(K$37+K$717)/([1]Transport!G$21+[1]Transport!G$25)*K1506</f>
        <v>1.4794921711429106E-2</v>
      </c>
    </row>
    <row r="1511" spans="2:11" x14ac:dyDescent="0.35">
      <c r="B1511" t="str">
        <f t="shared" si="888"/>
        <v>SPS2</v>
      </c>
      <c r="C1511" t="str">
        <f>C1505</f>
        <v>CH</v>
      </c>
      <c r="D1511" t="s">
        <v>1578</v>
      </c>
      <c r="E1511" t="str">
        <f>E1505</f>
        <v>PJ/yr.</v>
      </c>
      <c r="F1511" s="1" cm="1">
        <f t="array" ref="F1511">SUMPRODUCT(("T_TW-ICEGSLEXT"=[1]OUT_TransportEnergyCons!$A$3:$A$1000)*1,("Var_Fin"=[1]OUT_TransportEnergyCons!$B$3:$B$1000)*1,ISNUMBER(SEARCH("gsl",[1]OUT_TransportEnergyCons!$C$3:$C$1000))*1,[1]OUT_TransportEnergyCons!D$3:D$1000)</f>
        <v>1.9714567951542077</v>
      </c>
      <c r="G1511" s="1" cm="1">
        <f t="array" ref="G1511">SUMPRODUCT(("T_TW-ICEGSLEXT"=[1]OUT_TransportEnergyCons!$A$3:$A$1000)*1,("Var_Fin"=[1]OUT_TransportEnergyCons!$B$3:$B$1000)*1,ISNUMBER(SEARCH("gsl",[1]OUT_TransportEnergyCons!$C$3:$C$1000))*1,[1]OUT_TransportEnergyCons!E$3:E$1000)</f>
        <v>1.4933953772079127</v>
      </c>
      <c r="H1511" s="1" cm="1">
        <f t="array" ref="H1511">SUMPRODUCT(("T_TW-ICEGSLEXT"=[1]OUT_TransportEnergyCons!$A$3:$A$1000)*1,("Var_Fin"=[1]OUT_TransportEnergyCons!$B$3:$B$1000)*1,ISNUMBER(SEARCH("gsl",[1]OUT_TransportEnergyCons!$C$3:$C$1000))*1,[1]OUT_TransportEnergyCons!F$3:F$1000)</f>
        <v>1.0296903808042903</v>
      </c>
      <c r="I1511" s="1" cm="1">
        <f t="array" ref="I1511">SUMPRODUCT(("T_TW-ICEGSLEXT"=[1]OUT_TransportEnergyCons!$A$3:$A$1000)*1,("Var_Fin"=[1]OUT_TransportEnergyCons!$B$3:$B$1000)*1,ISNUMBER(SEARCH("gsl",[1]OUT_TransportEnergyCons!$C$3:$C$1000))*1,[1]OUT_TransportEnergyCons!G$3:G$1000)</f>
        <v>0.45317034833353093</v>
      </c>
      <c r="J1511" s="1" cm="1">
        <f t="array" ref="J1511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1" s="1" cm="1">
        <f t="array" ref="K1511">SUMPRODUCT(("T_TW-ICEGSLEXT"=[1]OUT_TransportEnergyCons!$A$3:$A$1000)*1,("Var_Fin"=[1]OUT_TransportEnergyCons!$B$3:$B$1000)*1,ISNUMBER(SEARCH("gsl",[1]OUT_TransportEnergyCons!$C$3:$C$1000))*1,[1]OUT_TransportEnergyCons!I$3:I$1000)</f>
        <v>0</v>
      </c>
    </row>
    <row r="1512" spans="2:11" x14ac:dyDescent="0.35">
      <c r="B1512" t="str">
        <f t="shared" si="888"/>
        <v>SPS2</v>
      </c>
      <c r="C1512" t="str">
        <f>C1506</f>
        <v>CH</v>
      </c>
      <c r="D1512" t="s">
        <v>1579</v>
      </c>
      <c r="E1512" t="str">
        <f>E1506</f>
        <v>PJ/yr.</v>
      </c>
      <c r="F1512" s="1" cm="1">
        <f t="array" ref="F1512">SUMPRODUCT(("T_TW-icegsl-S1"=[1]OUT_TransportEnergyCons!$A$3:$A$1000)*1,("Var_Fin"=[1]OUT_TransportEnergyCons!$B$3:$B$1000)*1,ISNUMBER(SEARCH("gsl",[1]OUT_TransportEnergyCons!$C$3:$C$1000))*1,[1]OUT_TransportEnergyCons!D$3:D$1000)</f>
        <v>4.4253861254979134E-2</v>
      </c>
      <c r="G1512" s="1" cm="1">
        <f t="array" ref="G1512">SUMPRODUCT(("T_TW-icegsl-S1"=[1]OUT_TransportEnergyCons!$A$3:$A$1000)*1,("Var_Fin"=[1]OUT_TransportEnergyCons!$B$3:$B$1000)*1,ISNUMBER(SEARCH("gsl",[1]OUT_TransportEnergyCons!$C$3:$C$1000))*1,[1]OUT_TransportEnergyCons!E$3:E$1000)</f>
        <v>0.16622658495730791</v>
      </c>
      <c r="H1512" s="1" cm="1">
        <f t="array" ref="H1512">SUMPRODUCT(("T_TW-icegsl-S1"=[1]OUT_TransportEnergyCons!$A$3:$A$1000)*1,("Var_Fin"=[1]OUT_TransportEnergyCons!$B$3:$B$1000)*1,ISNUMBER(SEARCH("gsl",[1]OUT_TransportEnergyCons!$C$3:$C$1000))*1,[1]OUT_TransportEnergyCons!F$3:F$1000)</f>
        <v>0.33379737716580765</v>
      </c>
      <c r="I1512" s="1" cm="1">
        <f t="array" ref="I1512">SUMPRODUCT(("T_TW-icegsl-S1"=[1]OUT_TransportEnergyCons!$A$3:$A$1000)*1,("Var_Fin"=[1]OUT_TransportEnergyCons!$B$3:$B$1000)*1,ISNUMBER(SEARCH("gsl",[1]OUT_TransportEnergyCons!$C$3:$C$1000))*1,[1]OUT_TransportEnergyCons!G$3:G$1000)</f>
        <v>0.5940648451067192</v>
      </c>
      <c r="J1512" s="1" cm="1">
        <f t="array" ref="J1512">SUMPRODUCT(("T_TW-icegsl-S1"=[1]OUT_TransportEnergyCons!$A$3:$A$1000)*1,("Var_Fin"=[1]OUT_TransportEnergyCons!$B$3:$B$1000)*1,ISNUMBER(SEARCH("gsl",[1]OUT_TransportEnergyCons!$C$3:$C$1000))*1,[1]OUT_TransportEnergyCons!H$3:H$1000)</f>
        <v>0.12102182269289563</v>
      </c>
      <c r="K1512" s="1" cm="1">
        <f t="array" ref="K1512">SUMPRODUCT(("T_TW-icegsl-S1"=[1]OUT_TransportEnergyCons!$A$3:$A$1000)*1,("Var_Fin"=[1]OUT_TransportEnergyCons!$B$3:$B$1000)*1,ISNUMBER(SEARCH("gsl",[1]OUT_TransportEnergyCons!$C$3:$C$1000))*1,[1]OUT_TransportEnergyCons!I$3:I$1000)</f>
        <v>1.4603047478272001E-2</v>
      </c>
    </row>
    <row r="1513" spans="2:11" x14ac:dyDescent="0.35">
      <c r="B1513" t="str">
        <f t="shared" si="888"/>
        <v>SPS2</v>
      </c>
      <c r="C1513" t="str">
        <f t="shared" si="936"/>
        <v>CH</v>
      </c>
      <c r="D1513" t="s">
        <v>1580</v>
      </c>
      <c r="E1513" t="str">
        <f t="shared" ref="E1513:E1515" si="945">E1512</f>
        <v>PJ/yr.</v>
      </c>
      <c r="F1513" s="1" cm="1">
        <f t="array" ref="F1513">SUMPRODUCT(("T_TW-icegsl-S2"=[1]OUT_TransportEnergyCons!$A$3:$A$1000)*1,("Var_Fin"=[1]OUT_TransportEnergyCons!$B$3:$B$1000)*1,ISNUMBER(SEARCH("gsl",[1]OUT_TransportEnergyCons!$C$3:$C$1000))*1,[1]OUT_TransportEnergyCons!D$3:D$1000)</f>
        <v>0.11223342313706682</v>
      </c>
      <c r="G1513" s="1" cm="1">
        <f t="array" ref="G1513">SUMPRODUCT(("T_TW-icegsl-S2"=[1]OUT_TransportEnergyCons!$A$3:$A$1000)*1,("Var_Fin"=[1]OUT_TransportEnergyCons!$B$3:$B$1000)*1,ISNUMBER(SEARCH("gsl",[1]OUT_TransportEnergyCons!$C$3:$C$1000))*1,[1]OUT_TransportEnergyCons!E$3:E$1000)</f>
        <v>0.16321128213509983</v>
      </c>
      <c r="H1513" s="1" cm="1">
        <f t="array" ref="H1513">SUMPRODUCT(("T_TW-icegsl-S2"=[1]OUT_TransportEnergyCons!$A$3:$A$1000)*1,("Var_Fin"=[1]OUT_TransportEnergyCons!$B$3:$B$1000)*1,ISNUMBER(SEARCH("gsl",[1]OUT_TransportEnergyCons!$C$3:$C$1000))*1,[1]OUT_TransportEnergyCons!F$3:F$1000)</f>
        <v>0.16267353055386882</v>
      </c>
      <c r="I1513" s="1" cm="1">
        <f t="array" ref="I1513">SUMPRODUCT(("T_TW-icegsl-S2"=[1]OUT_TransportEnergyCons!$A$3:$A$1000)*1,("Var_Fin"=[1]OUT_TransportEnergyCons!$B$3:$B$1000)*1,ISNUMBER(SEARCH("gsl",[1]OUT_TransportEnergyCons!$C$3:$C$1000))*1,[1]OUT_TransportEnergyCons!G$3:G$1000)</f>
        <v>0.10313347862950469</v>
      </c>
      <c r="J1513" s="1" cm="1">
        <f t="array" ref="J1513">SUMPRODUCT(("T_TW-icegsl-S2"=[1]OUT_TransportEnergyCons!$A$3:$A$1000)*1,("Var_Fin"=[1]OUT_TransportEnergyCons!$B$3:$B$1000)*1,ISNUMBER(SEARCH("gsl",[1]OUT_TransportEnergyCons!$C$3:$C$1000))*1,[1]OUT_TransportEnergyCons!H$3:H$1000)</f>
        <v>1.0940675364339153E-3</v>
      </c>
      <c r="K1513" s="1" cm="1">
        <f t="array" ref="K1513">SUMPRODUCT(("T_TW-icegsl-S2"=[1]OUT_TransportEnergyCons!$A$3:$A$1000)*1,("Var_Fin"=[1]OUT_TransportEnergyCons!$B$3:$B$1000)*1,ISNUMBER(SEARCH("gsl",[1]OUT_TransportEnergyCons!$C$3:$C$1000))*1,[1]OUT_TransportEnergyCons!I$3:I$1000)</f>
        <v>5.3235242768736007E-4</v>
      </c>
    </row>
    <row r="1514" spans="2:11" x14ac:dyDescent="0.35">
      <c r="B1514" t="str">
        <f t="shared" si="888"/>
        <v>SPS2</v>
      </c>
      <c r="C1514" t="str">
        <f t="shared" si="936"/>
        <v>CH</v>
      </c>
      <c r="D1514" t="s">
        <v>1581</v>
      </c>
      <c r="E1514" t="str">
        <f t="shared" si="945"/>
        <v>PJ/yr.</v>
      </c>
      <c r="F1514" s="1" cm="1">
        <f t="array" ref="F1514">SUMPRODUCT(("T_TW-icegsl-S3"=[1]OUT_TransportEnergyCons!$A$3:$A$1000)*1,("Var_Fin"=[1]OUT_TransportEnergyCons!$B$3:$B$1000)*1,ISNUMBER(SEARCH("gsl",[1]OUT_TransportEnergyCons!$C$3:$C$1000))*1,[1]OUT_TransportEnergyCons!D$3:D$1000)</f>
        <v>0.16264317507394643</v>
      </c>
      <c r="G1514" s="1" cm="1">
        <f t="array" ref="G1514">SUMPRODUCT(("T_TW-icegsl-S3"=[1]OUT_TransportEnergyCons!$A$3:$A$1000)*1,("Var_Fin"=[1]OUT_TransportEnergyCons!$B$3:$B$1000)*1,ISNUMBER(SEARCH("gsl",[1]OUT_TransportEnergyCons!$C$3:$C$1000))*1,[1]OUT_TransportEnergyCons!E$3:E$1000)</f>
        <v>0.20104797654946932</v>
      </c>
      <c r="H1514" s="1" cm="1">
        <f t="array" ref="H1514">SUMPRODUCT(("T_TW-icegsl-S3"=[1]OUT_TransportEnergyCons!$A$3:$A$1000)*1,("Var_Fin"=[1]OUT_TransportEnergyCons!$B$3:$B$1000)*1,ISNUMBER(SEARCH("gsl",[1]OUT_TransportEnergyCons!$C$3:$C$1000))*1,[1]OUT_TransportEnergyCons!F$3:F$1000)</f>
        <v>0.21046037515560542</v>
      </c>
      <c r="I1514" s="1" cm="1">
        <f t="array" ref="I1514">SUMPRODUCT(("T_TW-icegsl-S3"=[1]OUT_TransportEnergyCons!$A$3:$A$1000)*1,("Var_Fin"=[1]OUT_TransportEnergyCons!$B$3:$B$1000)*1,ISNUMBER(SEARCH("gsl",[1]OUT_TransportEnergyCons!$C$3:$C$1000))*1,[1]OUT_TransportEnergyCons!G$3:G$1000)</f>
        <v>0.19785366880271796</v>
      </c>
      <c r="J1514" s="1" cm="1">
        <f t="array" ref="J1514">SUMPRODUCT(("T_TW-icegsl-S3"=[1]OUT_TransportEnergyCons!$A$3:$A$1000)*1,("Var_Fin"=[1]OUT_TransportEnergyCons!$B$3:$B$1000)*1,ISNUMBER(SEARCH("gsl",[1]OUT_TransportEnergyCons!$C$3:$C$1000))*1,[1]OUT_TransportEnergyCons!H$3:H$1000)</f>
        <v>4.6776034842135231E-2</v>
      </c>
      <c r="K1514" s="1" cm="1">
        <f t="array" ref="K1514">SUMPRODUCT(("T_TW-icegsl-S3"=[1]OUT_TransportEnergyCons!$A$3:$A$1000)*1,("Var_Fin"=[1]OUT_TransportEnergyCons!$B$3:$B$1000)*1,ISNUMBER(SEARCH("gsl",[1]OUT_TransportEnergyCons!$C$3:$C$1000))*1,[1]OUT_TransportEnergyCons!I$3:I$1000)</f>
        <v>5.8033384814618614E-4</v>
      </c>
    </row>
    <row r="1515" spans="2:11" x14ac:dyDescent="0.35">
      <c r="B1515" t="str">
        <f t="shared" si="888"/>
        <v>SPS2</v>
      </c>
      <c r="C1515" t="str">
        <f t="shared" si="936"/>
        <v>CH</v>
      </c>
      <c r="D1515" t="s">
        <v>1582</v>
      </c>
      <c r="E1515" t="str">
        <f t="shared" si="945"/>
        <v>PJ/yr.</v>
      </c>
      <c r="F1515" s="1" cm="1">
        <f t="array" ref="F1515">SUMPRODUCT(("T_TW-icegsl-S4"=[1]OUT_TransportEnergyCons!$A$3:$A$1000)*1,("Var_Fin"=[1]OUT_TransportEnergyCons!$B$3:$B$1000)*1,ISNUMBER(SEARCH("gsl",[1]OUT_TransportEnergyCons!$C$3:$C$1000))*1,[1]OUT_TransportEnergyCons!D$3:D$1000)</f>
        <v>0.10591894408980169</v>
      </c>
      <c r="G1515" s="1" cm="1">
        <f t="array" ref="G1515">SUMPRODUCT(("T_TW-icegsl-S4"=[1]OUT_TransportEnergyCons!$A$3:$A$1000)*1,("Var_Fin"=[1]OUT_TransportEnergyCons!$B$3:$B$1000)*1,ISNUMBER(SEARCH("gsl",[1]OUT_TransportEnergyCons!$C$3:$C$1000))*1,[1]OUT_TransportEnergyCons!E$3:E$1000)</f>
        <v>0.12789903054656951</v>
      </c>
      <c r="H1515" s="1" cm="1">
        <f t="array" ref="H1515">SUMPRODUCT(("T_TW-icegsl-S4"=[1]OUT_TransportEnergyCons!$A$3:$A$1000)*1,("Var_Fin"=[1]OUT_TransportEnergyCons!$B$3:$B$1000)*1,ISNUMBER(SEARCH("gsl",[1]OUT_TransportEnergyCons!$C$3:$C$1000))*1,[1]OUT_TransportEnergyCons!F$3:F$1000)</f>
        <v>0.13362943149555584</v>
      </c>
      <c r="I1515" s="1" cm="1">
        <f t="array" ref="I1515">SUMPRODUCT(("T_TW-icegsl-S4"=[1]OUT_TransportEnergyCons!$A$3:$A$1000)*1,("Var_Fin"=[1]OUT_TransportEnergyCons!$B$3:$B$1000)*1,ISNUMBER(SEARCH("gsl",[1]OUT_TransportEnergyCons!$C$3:$C$1000))*1,[1]OUT_TransportEnergyCons!G$3:G$1000)</f>
        <v>0.12663300639991937</v>
      </c>
      <c r="J1515" s="1" cm="1">
        <f t="array" ref="J1515">SUMPRODUCT(("T_TW-icegsl-S4"=[1]OUT_TransportEnergyCons!$A$3:$A$1000)*1,("Var_Fin"=[1]OUT_TransportEnergyCons!$B$3:$B$1000)*1,ISNUMBER(SEARCH("gsl",[1]OUT_TransportEnergyCons!$C$3:$C$1000))*1,[1]OUT_TransportEnergyCons!H$3:H$1000)</f>
        <v>0.11492189565435207</v>
      </c>
      <c r="K1515" s="1" cm="1">
        <f t="array" ref="K1515">SUMPRODUCT(("T_TW-icegsl-S4"=[1]OUT_TransportEnergyCons!$A$3:$A$1000)*1,("Var_Fin"=[1]OUT_TransportEnergyCons!$B$3:$B$1000)*1,ISNUMBER(SEARCH("gsl",[1]OUT_TransportEnergyCons!$C$3:$C$1000))*1,[1]OUT_TransportEnergyCons!I$3:I$1000)</f>
        <v>1.3884632810704652E-3</v>
      </c>
    </row>
    <row r="1516" spans="2:11" x14ac:dyDescent="0.35">
      <c r="B1516" s="9" t="str">
        <f t="shared" si="888"/>
        <v>SPS2</v>
      </c>
      <c r="C1516" s="9" t="str">
        <f t="shared" si="936"/>
        <v>CH</v>
      </c>
      <c r="D1516" s="2" t="s">
        <v>1504</v>
      </c>
      <c r="E1516" s="2" t="s">
        <v>1518</v>
      </c>
      <c r="F1516" s="3" t="e">
        <f>SUM(#REF!,#REF!,#REF!)</f>
        <v>#REF!</v>
      </c>
      <c r="G1516" s="3" t="e">
        <f>SUM(#REF!,#REF!,#REF!)</f>
        <v>#REF!</v>
      </c>
      <c r="H1516" s="3" t="e">
        <f>SUM(#REF!,#REF!,#REF!)</f>
        <v>#REF!</v>
      </c>
      <c r="I1516" s="3" t="e">
        <f>SUM(#REF!,#REF!,#REF!)</f>
        <v>#REF!</v>
      </c>
      <c r="J1516" s="3" t="e">
        <f>SUM(#REF!,#REF!,#REF!)</f>
        <v>#REF!</v>
      </c>
      <c r="K1516" s="3" t="e">
        <f>SUM(#REF!,#REF!,#REF!)</f>
        <v>#REF!</v>
      </c>
    </row>
    <row r="1517" spans="2:11" x14ac:dyDescent="0.35">
      <c r="B1517" t="str">
        <f t="shared" si="888"/>
        <v>SPS2</v>
      </c>
      <c r="C1517" t="str">
        <f>C1516</f>
        <v>CH</v>
      </c>
      <c r="D1517" t="s">
        <v>1505</v>
      </c>
      <c r="E1517" t="str">
        <f>E1516</f>
        <v>Billion km/yr.</v>
      </c>
      <c r="F1517" s="1" cm="1">
        <f t="array" ref="F1517">SUMPRODUCT(("T_TW-BEVELC-S1"=[1]OUT_TransportEnergyCons!$A$3:$A$1000)*1,("var_fout"=[1]OUT_TransportEnergyCons!$B$3:$B$1000)*1,ISNUMBER(SEARCH("TPTWL",[1]OUT_TransportEnergyCons!$C$3:$C$1000))*1,[1]OUT_TransportEnergyCons!D$3:D$1000)</f>
        <v>2.5907023706669169E-2</v>
      </c>
      <c r="G1517" s="1" cm="1">
        <f t="array" ref="G1517">SUMPRODUCT(("T_TW-BEVELC-S1"=[1]OUT_TransportEnergyCons!$A$3:$A$1000)*1,("var_fout"=[1]OUT_TransportEnergyCons!$B$3:$B$1000)*1,ISNUMBER(SEARCH("TPTWL",[1]OUT_TransportEnergyCons!$C$3:$C$1000))*1,[1]OUT_TransportEnergyCons!E$3:E$1000)</f>
        <v>3.5618806959309003E-2</v>
      </c>
      <c r="H1517" s="1" cm="1">
        <f t="array" ref="H1517">SUMPRODUCT(("T_TW-BEVELC-S1"=[1]OUT_TransportEnergyCons!$A$3:$A$1000)*1,("var_fout"=[1]OUT_TransportEnergyCons!$B$3:$B$1000)*1,ISNUMBER(SEARCH("TPTWL",[1]OUT_TransportEnergyCons!$C$3:$C$1000))*1,[1]OUT_TransportEnergyCons!F$3:F$1000)</f>
        <v>3.9371793929944159E-2</v>
      </c>
      <c r="I1517" s="1" cm="1">
        <f t="array" ref="I1517">SUMPRODUCT(("T_TW-BEVELC-S1"=[1]OUT_TransportEnergyCons!$A$3:$A$1000)*1,("var_fout"=[1]OUT_TransportEnergyCons!$B$3:$B$1000)*1,ISNUMBER(SEARCH("TPTWL",[1]OUT_TransportEnergyCons!$C$3:$C$1000))*1,[1]OUT_TransportEnergyCons!G$3:G$1000)</f>
        <v>4.4997522362824893E-2</v>
      </c>
      <c r="J1517" s="1" cm="1">
        <f t="array" ref="J1517">SUMPRODUCT(("T_TW-BEVELC-S1"=[1]OUT_TransportEnergyCons!$A$3:$A$1000)*1,("var_fout"=[1]OUT_TransportEnergyCons!$B$3:$B$1000)*1,ISNUMBER(SEARCH("TPTWL",[1]OUT_TransportEnergyCons!$C$3:$C$1000))*1,[1]OUT_TransportEnergyCons!H$3:H$1000)</f>
        <v>1.5918739150017844</v>
      </c>
      <c r="K1517" s="1" cm="1">
        <f t="array" ref="K1517">SUMPRODUCT(("T_TW-BEVELC-S1"=[1]OUT_TransportEnergyCons!$A$3:$A$1000)*1,("var_fout"=[1]OUT_TransportEnergyCons!$B$3:$B$1000)*1,ISNUMBER(SEARCH("TPTWL",[1]OUT_TransportEnergyCons!$C$3:$C$1000))*1,[1]OUT_TransportEnergyCons!I$3:I$1000)</f>
        <v>1.870731275880112</v>
      </c>
    </row>
    <row r="1518" spans="2:11" x14ac:dyDescent="0.35">
      <c r="B1518" t="str">
        <f t="shared" si="888"/>
        <v>SPS2</v>
      </c>
      <c r="C1518" t="str">
        <f t="shared" ref="C1518:C1543" si="946">C1517</f>
        <v>CH</v>
      </c>
      <c r="D1518" t="s">
        <v>1506</v>
      </c>
      <c r="E1518" t="str">
        <f t="shared" ref="E1518:E1529" si="947">E1517</f>
        <v>Billion km/yr.</v>
      </c>
      <c r="F1518" s="1" cm="1">
        <f t="array" ref="F1518">SUMPRODUCT(("T_TW-BEVELC-S2"=[1]OUT_TransportEnergyCons!$A$3:$A$1000)*1,("var_fout"=[1]OUT_TransportEnergyCons!$B$3:$B$1000)*1,ISNUMBER(SEARCH("TPTWL",[1]OUT_TransportEnergyCons!$C$3:$C$1000))*1,[1]OUT_TransportEnergyCons!D$3:D$1000)</f>
        <v>2.9082335189095409E-3</v>
      </c>
      <c r="G1518" s="1" cm="1">
        <f t="array" ref="G1518">SUMPRODUCT(("T_TW-BEVELC-S2"=[1]OUT_TransportEnergyCons!$A$3:$A$1000)*1,("var_fout"=[1]OUT_TransportEnergyCons!$B$3:$B$1000)*1,ISNUMBER(SEARCH("TPTWL",[1]OUT_TransportEnergyCons!$C$3:$C$1000))*1,[1]OUT_TransportEnergyCons!E$3:E$1000)</f>
        <v>4.3412381838323407E-3</v>
      </c>
      <c r="H1518" s="1" cm="1">
        <f t="array" ref="H1518">SUMPRODUCT(("T_TW-BEVELC-S2"=[1]OUT_TransportEnergyCons!$A$3:$A$1000)*1,("var_fout"=[1]OUT_TransportEnergyCons!$B$3:$B$1000)*1,ISNUMBER(SEARCH("TPTWL",[1]OUT_TransportEnergyCons!$C$3:$C$1000))*1,[1]OUT_TransportEnergyCons!F$3:F$1000)</f>
        <v>5.2493581243739113E-3</v>
      </c>
      <c r="I1518" s="1" cm="1">
        <f t="array" ref="I1518">SUMPRODUCT(("T_TW-BEVELC-S2"=[1]OUT_TransportEnergyCons!$A$3:$A$1000)*1,("var_fout"=[1]OUT_TransportEnergyCons!$B$3:$B$1000)*1,ISNUMBER(SEARCH("TPTWL",[1]OUT_TransportEnergyCons!$C$3:$C$1000))*1,[1]OUT_TransportEnergyCons!G$3:G$1000)</f>
        <v>6.1719366717933755E-3</v>
      </c>
      <c r="J1518" s="1" cm="1">
        <f t="array" ref="J1518">SUMPRODUCT(("T_TW-BEVELC-S2"=[1]OUT_TransportEnergyCons!$A$3:$A$1000)*1,("var_fout"=[1]OUT_TransportEnergyCons!$B$3:$B$1000)*1,ISNUMBER(SEARCH("TPTWL",[1]OUT_TransportEnergyCons!$C$3:$C$1000))*1,[1]OUT_TransportEnergyCons!H$3:H$1000)</f>
        <v>4.3457632485897303E-3</v>
      </c>
      <c r="K1518" s="1" cm="1">
        <f t="array" ref="K1518">SUMPRODUCT(("T_TW-BEVELC-S2"=[1]OUT_TransportEnergyCons!$A$3:$A$1000)*1,("var_fout"=[1]OUT_TransportEnergyCons!$B$3:$B$1000)*1,ISNUMBER(SEARCH("TPTWL",[1]OUT_TransportEnergyCons!$C$3:$C$1000))*1,[1]OUT_TransportEnergyCons!I$3:I$1000)</f>
        <v>2.8619480724619115E-3</v>
      </c>
    </row>
    <row r="1519" spans="2:11" x14ac:dyDescent="0.35">
      <c r="B1519" t="str">
        <f t="shared" si="888"/>
        <v>SPS2</v>
      </c>
      <c r="C1519" t="str">
        <f t="shared" si="946"/>
        <v>CH</v>
      </c>
      <c r="D1519" t="s">
        <v>1507</v>
      </c>
      <c r="E1519" t="str">
        <f t="shared" si="947"/>
        <v>Billion km/yr.</v>
      </c>
      <c r="F1519" s="1" cm="1">
        <f t="array" ref="F1519">SUMPRODUCT(("T_TW-BEVELC-S3"=[1]OUT_TransportEnergyCons!$A$3:$A$1000)*1,("var_fout"=[1]OUT_TransportEnergyCons!$B$3:$B$1000)*1,ISNUMBER(SEARCH("TPTWL",[1]OUT_TransportEnergyCons!$C$3:$C$1000))*1,[1]OUT_TransportEnergyCons!D$3:D$1000)</f>
        <v>8.1986758570670888E-4</v>
      </c>
      <c r="G1519" s="1" cm="1">
        <f t="array" ref="G1519">SUMPRODUCT(("T_TW-BEVELC-S3"=[1]OUT_TransportEnergyCons!$A$3:$A$1000)*1,("var_fout"=[1]OUT_TransportEnergyCons!$B$3:$B$1000)*1,ISNUMBER(SEARCH("TPTWL",[1]OUT_TransportEnergyCons!$C$3:$C$1000))*1,[1]OUT_TransportEnergyCons!E$3:E$1000)</f>
        <v>1.5358953874231287E-3</v>
      </c>
      <c r="H1519" s="1" cm="1">
        <f t="array" ref="H1519">SUMPRODUCT(("T_TW-BEVELC-S3"=[1]OUT_TransportEnergyCons!$A$3:$A$1000)*1,("var_fout"=[1]OUT_TransportEnergyCons!$B$3:$B$1000)*1,ISNUMBER(SEARCH("TPTWL",[1]OUT_TransportEnergyCons!$C$3:$C$1000))*1,[1]OUT_TransportEnergyCons!F$3:F$1000)</f>
        <v>2.0329133892431589E-3</v>
      </c>
      <c r="I1519" s="1" cm="1">
        <f t="array" ref="I1519">SUMPRODUCT(("T_TW-BEVELC-S3"=[1]OUT_TransportEnergyCons!$A$3:$A$1000)*1,("var_fout"=[1]OUT_TransportEnergyCons!$B$3:$B$1000)*1,ISNUMBER(SEARCH("TPTWL",[1]OUT_TransportEnergyCons!$C$3:$C$1000))*1,[1]OUT_TransportEnergyCons!G$3:G$1000)</f>
        <v>2.5940505241979924E-3</v>
      </c>
      <c r="J1519" s="1" cm="1">
        <f t="array" ref="J1519">SUMPRODUCT(("T_TW-BEVELC-S3"=[1]OUT_TransportEnergyCons!$A$3:$A$1000)*1,("var_fout"=[1]OUT_TransportEnergyCons!$B$3:$B$1000)*1,ISNUMBER(SEARCH("TPTWL",[1]OUT_TransportEnergyCons!$C$3:$C$1000))*1,[1]OUT_TransportEnergyCons!H$3:H$1000)</f>
        <v>2.6813489505120663E-3</v>
      </c>
      <c r="K1519" s="1" cm="1">
        <f t="array" ref="K1519">SUMPRODUCT(("T_TW-BEVELC-S3"=[1]OUT_TransportEnergyCons!$A$3:$A$1000)*1,("var_fout"=[1]OUT_TransportEnergyCons!$B$3:$B$1000)*1,ISNUMBER(SEARCH("TPTWL",[1]OUT_TransportEnergyCons!$C$3:$C$1000))*1,[1]OUT_TransportEnergyCons!I$3:I$1000)</f>
        <v>1.5049937802901377E-3</v>
      </c>
    </row>
    <row r="1520" spans="2:11" x14ac:dyDescent="0.35">
      <c r="B1520" t="str">
        <f t="shared" si="888"/>
        <v>SPS2</v>
      </c>
      <c r="C1520" t="str">
        <f t="shared" si="946"/>
        <v>CH</v>
      </c>
      <c r="D1520" t="s">
        <v>1508</v>
      </c>
      <c r="E1520" t="str">
        <f t="shared" si="947"/>
        <v>Billion km/yr.</v>
      </c>
      <c r="F1520" s="1" cm="1">
        <f t="array" ref="F1520">SUMPRODUCT(("T_TW-BEVELC-S4"=[1]OUT_TransportEnergyCons!$A$3:$A$1000)*1,("var_fout"=[1]OUT_TransportEnergyCons!$B$3:$B$1000)*1,ISNUMBER(SEARCH("TPTWL",[1]OUT_TransportEnergyCons!$C$3:$C$1000))*1,[1]OUT_TransportEnergyCons!D$3:D$1000)</f>
        <v>8.8465131398766223E-4</v>
      </c>
      <c r="G1520" s="1" cm="1">
        <f t="array" ref="G1520">SUMPRODUCT(("T_TW-BEVELC-S4"=[1]OUT_TransportEnergyCons!$A$3:$A$1000)*1,("var_fout"=[1]OUT_TransportEnergyCons!$B$3:$B$1000)*1,ISNUMBER(SEARCH("TPTWL",[1]OUT_TransportEnergyCons!$C$3:$C$1000))*1,[1]OUT_TransportEnergyCons!E$3:E$1000)</f>
        <v>1.5526522573605743E-3</v>
      </c>
      <c r="H1520" s="1" cm="1">
        <f t="array" ref="H1520">SUMPRODUCT(("T_TW-BEVELC-S4"=[1]OUT_TransportEnergyCons!$A$3:$A$1000)*1,("var_fout"=[1]OUT_TransportEnergyCons!$B$3:$B$1000)*1,ISNUMBER(SEARCH("TPTWL",[1]OUT_TransportEnergyCons!$C$3:$C$1000))*1,[1]OUT_TransportEnergyCons!F$3:F$1000)</f>
        <v>2.1151367906808989E-3</v>
      </c>
      <c r="I1520" s="1" cm="1">
        <f t="array" ref="I1520">SUMPRODUCT(("T_TW-BEVELC-S4"=[1]OUT_TransportEnergyCons!$A$3:$A$1000)*1,("var_fout"=[1]OUT_TransportEnergyCons!$B$3:$B$1000)*1,ISNUMBER(SEARCH("TPTWL",[1]OUT_TransportEnergyCons!$C$3:$C$1000))*1,[1]OUT_TransportEnergyCons!G$3:G$1000)</f>
        <v>2.610231715265963E-3</v>
      </c>
      <c r="J1520" s="1" cm="1">
        <f t="array" ref="J1520">SUMPRODUCT(("T_TW-BEVELC-S4"=[1]OUT_TransportEnergyCons!$A$3:$A$1000)*1,("var_fout"=[1]OUT_TransportEnergyCons!$B$3:$B$1000)*1,ISNUMBER(SEARCH("TPTWL",[1]OUT_TransportEnergyCons!$C$3:$C$1000))*1,[1]OUT_TransportEnergyCons!H$3:H$1000)</f>
        <v>3.4831097402362736E-3</v>
      </c>
      <c r="K1520" s="1" cm="1">
        <f t="array" ref="K1520">SUMPRODUCT(("T_TW-BEVELC-S4"=[1]OUT_TransportEnergyCons!$A$3:$A$1000)*1,("var_fout"=[1]OUT_TransportEnergyCons!$B$3:$B$1000)*1,ISNUMBER(SEARCH("TPTWL",[1]OUT_TransportEnergyCons!$C$3:$C$1000))*1,[1]OUT_TransportEnergyCons!I$3:I$1000)</f>
        <v>2.1657255030040224E-3</v>
      </c>
    </row>
    <row r="1521" spans="2:11" x14ac:dyDescent="0.35">
      <c r="B1521" t="str">
        <f t="shared" si="888"/>
        <v>SPS2</v>
      </c>
      <c r="C1521" t="str">
        <f t="shared" si="946"/>
        <v>CH</v>
      </c>
      <c r="D1521" t="s">
        <v>1509</v>
      </c>
      <c r="E1521" t="str">
        <f t="shared" si="947"/>
        <v>Billion km/yr.</v>
      </c>
      <c r="F1521" s="1" cm="1">
        <f t="array" ref="F1521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1" s="1" cm="1">
        <f t="array" ref="G1521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1" s="1" cm="1">
        <f t="array" ref="H1521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1" s="1" cm="1">
        <f t="array" ref="I1521">SUMPRODUCT(("T_TW-fclh2o-S1"=[1]OUT_TransportEnergyCons!$A$3:$A$1000)*1,("var_fout"=[1]OUT_TransportEnergyCons!$B$3:$B$1000)*1,ISNUMBER(SEARCH("TPTWL",[1]OUT_TransportEnergyCons!$C$3:$C$1000))*1,[1]OUT_TransportEnergyCons!G$3:G$1000)</f>
        <v>8.3214819406410723E-4</v>
      </c>
      <c r="J1521" s="1" cm="1">
        <f t="array" ref="J1521">SUMPRODUCT(("T_TW-fclh2o-S1"=[1]OUT_TransportEnergyCons!$A$3:$A$1000)*1,("var_fout"=[1]OUT_TransportEnergyCons!$B$3:$B$1000)*1,ISNUMBER(SEARCH("TPTWL",[1]OUT_TransportEnergyCons!$C$3:$C$1000))*1,[1]OUT_TransportEnergyCons!H$3:H$1000)</f>
        <v>2.4500819316389233E-3</v>
      </c>
      <c r="K1521" s="1" cm="1">
        <f t="array" ref="K1521">SUMPRODUCT(("T_TW-fclh2o-S1"=[1]OUT_TransportEnergyCons!$A$3:$A$1000)*1,("var_fout"=[1]OUT_TransportEnergyCons!$B$3:$B$1000)*1,ISNUMBER(SEARCH("TPTWL",[1]OUT_TransportEnergyCons!$C$3:$C$1000))*1,[1]OUT_TransportEnergyCons!I$3:I$1000)</f>
        <v>1.8643032232097791E-3</v>
      </c>
    </row>
    <row r="1522" spans="2:11" x14ac:dyDescent="0.35">
      <c r="B1522" t="str">
        <f t="shared" si="888"/>
        <v>SPS2</v>
      </c>
      <c r="C1522" t="str">
        <f t="shared" si="946"/>
        <v>CH</v>
      </c>
      <c r="D1522" t="s">
        <v>1510</v>
      </c>
      <c r="E1522" t="str">
        <f t="shared" si="947"/>
        <v>Billion km/yr.</v>
      </c>
      <c r="F1522" s="1" cm="1">
        <f t="array" ref="F1522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2" s="1" cm="1">
        <f t="array" ref="G1522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2" s="1" cm="1">
        <f t="array" ref="H1522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2" s="1" cm="1">
        <f t="array" ref="I1522">SUMPRODUCT(("T_TW-fclh2o-S2"=[1]OUT_TransportEnergyCons!$A$3:$A$1000)*1,("var_fout"=[1]OUT_TransportEnergyCons!$B$3:$B$1000)*1,ISNUMBER(SEARCH("TPTWL",[1]OUT_TransportEnergyCons!$C$3:$C$1000))*1,[1]OUT_TransportEnergyCons!G$3:G$1000)</f>
        <v>3.5393182377903775E-4</v>
      </c>
      <c r="J1522" s="1" cm="1">
        <f t="array" ref="J1522">SUMPRODUCT(("T_TW-fclh2o-S2"=[1]OUT_TransportEnergyCons!$A$3:$A$1000)*1,("var_fout"=[1]OUT_TransportEnergyCons!$B$3:$B$1000)*1,ISNUMBER(SEARCH("TPTWL",[1]OUT_TransportEnergyCons!$C$3:$C$1000))*1,[1]OUT_TransportEnergyCons!H$3:H$1000)</f>
        <v>1.0097579876810062E-3</v>
      </c>
      <c r="K1522" s="1" cm="1">
        <f t="array" ref="K1522">SUMPRODUCT(("T_TW-fclh2o-S2"=[1]OUT_TransportEnergyCons!$A$3:$A$1000)*1,("var_fout"=[1]OUT_TransportEnergyCons!$B$3:$B$1000)*1,ISNUMBER(SEARCH("TPTWL",[1]OUT_TransportEnergyCons!$C$3:$C$1000))*1,[1]OUT_TransportEnergyCons!I$3:I$1000)</f>
        <v>7.4472210754315685E-4</v>
      </c>
    </row>
    <row r="1523" spans="2:11" x14ac:dyDescent="0.35">
      <c r="B1523" t="str">
        <f t="shared" si="888"/>
        <v>SPS2</v>
      </c>
      <c r="C1523" t="str">
        <f t="shared" si="946"/>
        <v>CH</v>
      </c>
      <c r="D1523" t="s">
        <v>1511</v>
      </c>
      <c r="E1523" t="str">
        <f t="shared" si="947"/>
        <v>Billion km/yr.</v>
      </c>
      <c r="F1523" s="1" cm="1">
        <f t="array" ref="F1523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SUMPRODUCT(("T_TW-fclh2o-S3"=[1]OUT_TransportEnergyCons!$A$3:$A$1000)*1,("var_fout"=[1]OUT_TransportEnergyCons!$B$3:$B$1000)*1,ISNUMBER(SEARCH("TPTWL",[1]OUT_TransportEnergyCons!$C$3:$C$1000))*1,[1]OUT_TransportEnergyCons!G$3:G$1000)</f>
        <v>1.8774812617007174E-4</v>
      </c>
      <c r="J1523" s="1" cm="1">
        <f t="array" ref="J1523">SUMPRODUCT(("T_TW-fclh2o-S3"=[1]OUT_TransportEnergyCons!$A$3:$A$1000)*1,("var_fout"=[1]OUT_TransportEnergyCons!$B$3:$B$1000)*1,ISNUMBER(SEARCH("TPTWL",[1]OUT_TransportEnergyCons!$C$3:$C$1000))*1,[1]OUT_TransportEnergyCons!H$3:H$1000)</f>
        <v>5.356880299785306E-4</v>
      </c>
      <c r="K1523" s="1" cm="1">
        <f t="array" ref="K1523">SUMPRODUCT(("T_TW-fclh2o-S3"=[1]OUT_TransportEnergyCons!$A$3:$A$1000)*1,("var_fout"=[1]OUT_TransportEnergyCons!$B$3:$B$1000)*1,ISNUMBER(SEARCH("TPTWL",[1]OUT_TransportEnergyCons!$C$3:$C$1000))*1,[1]OUT_TransportEnergyCons!I$3:I$1000)</f>
        <v>5.3658240704753421E-4</v>
      </c>
    </row>
    <row r="1524" spans="2:11" x14ac:dyDescent="0.35">
      <c r="B1524" t="str">
        <f t="shared" ref="B1524:B1587" si="948">B1523</f>
        <v>SPS2</v>
      </c>
      <c r="C1524" t="str">
        <f t="shared" si="946"/>
        <v>CH</v>
      </c>
      <c r="D1524" t="s">
        <v>1512</v>
      </c>
      <c r="E1524" t="str">
        <f t="shared" si="947"/>
        <v>Billion km/yr.</v>
      </c>
      <c r="F1524" s="1" cm="1">
        <f t="array" ref="F1524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SUMPRODUCT(("T_TW-fclh2o-S4"=[1]OUT_TransportEnergyCons!$A$3:$A$1000)*1,("var_fout"=[1]OUT_TransportEnergyCons!$B$3:$B$1000)*1,ISNUMBER(SEARCH("TPTWL",[1]OUT_TransportEnergyCons!$C$3:$C$1000))*1,[1]OUT_TransportEnergyCons!G$3:G$1000)</f>
        <v>9.0261819582553973E-5</v>
      </c>
      <c r="J1524" s="1" cm="1">
        <f t="array" ref="J1524">SUMPRODUCT(("T_TW-fclh2o-S4"=[1]OUT_TransportEnergyCons!$A$3:$A$1000)*1,("var_fout"=[1]OUT_TransportEnergyCons!$B$3:$B$1000)*1,ISNUMBER(SEARCH("TPTWL",[1]OUT_TransportEnergyCons!$C$3:$C$1000))*1,[1]OUT_TransportEnergyCons!H$3:H$1000)</f>
        <v>2.8484079663138463E-4</v>
      </c>
      <c r="K1524" s="1" cm="1">
        <f t="array" ref="K1524">SUMPRODUCT(("T_TW-fclh2o-S4"=[1]OUT_TransportEnergyCons!$A$3:$A$1000)*1,("var_fout"=[1]OUT_TransportEnergyCons!$B$3:$B$1000)*1,ISNUMBER(SEARCH("TPTWL",[1]OUT_TransportEnergyCons!$C$3:$C$1000))*1,[1]OUT_TransportEnergyCons!I$3:I$1000)</f>
        <v>3.5832999165757567E-4</v>
      </c>
    </row>
    <row r="1525" spans="2:11" x14ac:dyDescent="0.35">
      <c r="B1525" t="str">
        <f t="shared" si="948"/>
        <v>SPS2</v>
      </c>
      <c r="C1525" t="str">
        <f t="shared" si="946"/>
        <v>CH</v>
      </c>
      <c r="D1525" t="s">
        <v>1513</v>
      </c>
      <c r="E1525" t="str">
        <f t="shared" si="947"/>
        <v>Billion km/yr.</v>
      </c>
      <c r="F1525" s="1" cm="1">
        <f t="array" ref="F1525">SUMPRODUCT(("T_TW-ICEGSLEXT"=[1]OUT_TransportEnergyCons!$A$3:$A$1000)*1,("var_fout"=[1]OUT_TransportEnergyCons!$B$3:$B$1000)*1,ISNUMBER(SEARCH("TPTWL",[1]OUT_TransportEnergyCons!$C$3:$C$1000))*1,[1]OUT_TransportEnergyCons!D$3:D$1000)</f>
        <v>1.5203186871197434</v>
      </c>
      <c r="G1525" s="1" cm="1">
        <f t="array" ref="G1525">SUMPRODUCT(("T_TW-ICEGSLEXT"=[1]OUT_TransportEnergyCons!$A$3:$A$1000)*1,("var_fout"=[1]OUT_TransportEnergyCons!$B$3:$B$1000)*1,ISNUMBER(SEARCH("TPTWL",[1]OUT_TransportEnergyCons!$C$3:$C$1000))*1,[1]OUT_TransportEnergyCons!E$3:E$1000)</f>
        <v>1.1756580827340728</v>
      </c>
      <c r="H1525" s="1" cm="1">
        <f t="array" ref="H1525">SUMPRODUCT(("T_TW-ICEGSLEXT"=[1]OUT_TransportEnergyCons!$A$3:$A$1000)*1,("var_fout"=[1]OUT_TransportEnergyCons!$B$3:$B$1000)*1,ISNUMBER(SEARCH("TPTWL",[1]OUT_TransportEnergyCons!$C$3:$C$1000))*1,[1]OUT_TransportEnergyCons!F$3:F$1000)</f>
        <v>0.83543740293974689</v>
      </c>
      <c r="I1525" s="1" cm="1">
        <f t="array" ref="I1525">SUMPRODUCT(("T_TW-ICEGSLEXT"=[1]OUT_TransportEnergyCons!$A$3:$A$1000)*1,("var_fout"=[1]OUT_TransportEnergyCons!$B$3:$B$1000)*1,ISNUMBER(SEARCH("TPTWL",[1]OUT_TransportEnergyCons!$C$3:$C$1000))*1,[1]OUT_TransportEnergyCons!G$3:G$1000)</f>
        <v>0.38588870341514747</v>
      </c>
      <c r="J1525" s="1" cm="1">
        <f t="array" ref="J1525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5" s="1" cm="1">
        <f t="array" ref="K1525">SUMPRODUCT(("T_TW-ICEGSLEXT"=[1]OUT_TransportEnergyCons!$A$3:$A$1000)*1,("var_fout"=[1]OUT_TransportEnergyCons!$B$3:$B$1000)*1,ISNUMBER(SEARCH("TPTWL",[1]OUT_TransportEnergyCons!$C$3:$C$1000))*1,[1]OUT_TransportEnergyCons!I$3:I$1000)</f>
        <v>0</v>
      </c>
    </row>
    <row r="1526" spans="2:11" x14ac:dyDescent="0.35">
      <c r="B1526" t="str">
        <f t="shared" si="948"/>
        <v>SPS2</v>
      </c>
      <c r="C1526" t="str">
        <f t="shared" si="946"/>
        <v>CH</v>
      </c>
      <c r="D1526" t="s">
        <v>1514</v>
      </c>
      <c r="E1526" t="str">
        <f t="shared" si="947"/>
        <v>Billion km/yr.</v>
      </c>
      <c r="F1526" s="1" cm="1">
        <f t="array" ref="F1526">SUMPRODUCT(("T_TW-icegsl-S1"=[1]OUT_TransportEnergyCons!$A$3:$A$1000)*1,("var_fout"=[1]OUT_TransportEnergyCons!$B$3:$B$1000)*1,ISNUMBER(SEARCH("TPTWL",[1]OUT_TransportEnergyCons!$C$3:$C$1000))*1,[1]OUT_TransportEnergyCons!D$3:D$1000)</f>
        <v>8.4431217603619726E-2</v>
      </c>
      <c r="G1526" s="1" cm="1">
        <f t="array" ref="G1526">SUMPRODUCT(("T_TW-icegsl-S1"=[1]OUT_TransportEnergyCons!$A$3:$A$1000)*1,("var_fout"=[1]OUT_TransportEnergyCons!$B$3:$B$1000)*1,ISNUMBER(SEARCH("TPTWL",[1]OUT_TransportEnergyCons!$C$3:$C$1000))*1,[1]OUT_TransportEnergyCons!E$3:E$1000)</f>
        <v>0.3192683129226262</v>
      </c>
      <c r="H1526" s="1" cm="1">
        <f t="array" ref="H1526">SUMPRODUCT(("T_TW-icegsl-S1"=[1]OUT_TransportEnergyCons!$A$3:$A$1000)*1,("var_fout"=[1]OUT_TransportEnergyCons!$B$3:$B$1000)*1,ISNUMBER(SEARCH("TPTWL",[1]OUT_TransportEnergyCons!$C$3:$C$1000))*1,[1]OUT_TransportEnergyCons!F$3:F$1000)</f>
        <v>0.6464729653556226</v>
      </c>
      <c r="I1526" s="1" cm="1">
        <f t="array" ref="I1526">SUMPRODUCT(("T_TW-icegsl-S1"=[1]OUT_TransportEnergyCons!$A$3:$A$1000)*1,("var_fout"=[1]OUT_TransportEnergyCons!$B$3:$B$1000)*1,ISNUMBER(SEARCH("TPTWL",[1]OUT_TransportEnergyCons!$C$3:$C$1000))*1,[1]OUT_TransportEnergyCons!G$3:G$1000)</f>
        <v>1.1717003007331008</v>
      </c>
      <c r="J1526" s="1" cm="1">
        <f t="array" ref="J1526">SUMPRODUCT(("T_TW-icegsl-S1"=[1]OUT_TransportEnergyCons!$A$3:$A$1000)*1,("var_fout"=[1]OUT_TransportEnergyCons!$B$3:$B$1000)*1,ISNUMBER(SEARCH("TPTWL",[1]OUT_TransportEnergyCons!$C$3:$C$1000))*1,[1]OUT_TransportEnergyCons!H$3:H$1000)</f>
        <v>0.24553509583291891</v>
      </c>
      <c r="K1526" s="1" cm="1">
        <f t="array" ref="K1526">SUMPRODUCT(("T_TW-icegsl-S1"=[1]OUT_TransportEnergyCons!$A$3:$A$1000)*1,("var_fout"=[1]OUT_TransportEnergyCons!$B$3:$B$1000)*1,ISNUMBER(SEARCH("TPTWL",[1]OUT_TransportEnergyCons!$C$3:$C$1000))*1,[1]OUT_TransportEnergyCons!I$3:I$1000)</f>
        <v>2.9944592156476647E-2</v>
      </c>
    </row>
    <row r="1527" spans="2:11" x14ac:dyDescent="0.35">
      <c r="B1527" t="str">
        <f t="shared" si="948"/>
        <v>SPS2</v>
      </c>
      <c r="C1527" t="str">
        <f t="shared" si="946"/>
        <v>CH</v>
      </c>
      <c r="D1527" t="s">
        <v>1515</v>
      </c>
      <c r="E1527" t="str">
        <f t="shared" si="947"/>
        <v>Billion km/yr.</v>
      </c>
      <c r="F1527" s="1" cm="1">
        <f t="array" ref="F1527">SUMPRODUCT(("T_TW-icegsl-S2"=[1]OUT_TransportEnergyCons!$A$3:$A$1000)*1,("var_fout"=[1]OUT_TransportEnergyCons!$B$3:$B$1000)*1,ISNUMBER(SEARCH("TPTWL",[1]OUT_TransportEnergyCons!$C$3:$C$1000))*1,[1]OUT_TransportEnergyCons!D$3:D$1000)</f>
        <v>0.12376686468704086</v>
      </c>
      <c r="G1527" s="1" cm="1">
        <f t="array" ref="G1527">SUMPRODUCT(("T_TW-icegsl-S2"=[1]OUT_TransportEnergyCons!$A$3:$A$1000)*1,("var_fout"=[1]OUT_TransportEnergyCons!$B$3:$B$1000)*1,ISNUMBER(SEARCH("TPTWL",[1]OUT_TransportEnergyCons!$C$3:$C$1000))*1,[1]OUT_TransportEnergyCons!E$3:E$1000)</f>
        <v>0.18023711802857384</v>
      </c>
      <c r="H1527" s="1" cm="1">
        <f t="array" ref="H1527">SUMPRODUCT(("T_TW-icegsl-S2"=[1]OUT_TransportEnergyCons!$A$3:$A$1000)*1,("var_fout"=[1]OUT_TransportEnergyCons!$B$3:$B$1000)*1,ISNUMBER(SEARCH("TPTWL",[1]OUT_TransportEnergyCons!$C$3:$C$1000))*1,[1]OUT_TransportEnergyCons!F$3:F$1000)</f>
        <v>0.17965700666504084</v>
      </c>
      <c r="I1527" s="1" cm="1">
        <f t="array" ref="I1527">SUMPRODUCT(("T_TW-icegsl-S2"=[1]OUT_TransportEnergyCons!$A$3:$A$1000)*1,("var_fout"=[1]OUT_TransportEnergyCons!$B$3:$B$1000)*1,ISNUMBER(SEARCH("TPTWL",[1]OUT_TransportEnergyCons!$C$3:$C$1000))*1,[1]OUT_TransportEnergyCons!G$3:G$1000)</f>
        <v>0.11395350768667845</v>
      </c>
      <c r="J1527" s="1" cm="1">
        <f t="array" ref="J1527">SUMPRODUCT(("T_TW-icegsl-S2"=[1]OUT_TransportEnergyCons!$A$3:$A$1000)*1,("var_fout"=[1]OUT_TransportEnergyCons!$B$3:$B$1000)*1,ISNUMBER(SEARCH("TPTWL",[1]OUT_TransportEnergyCons!$C$3:$C$1000))*1,[1]OUT_TransportEnergyCons!H$3:H$1000)</f>
        <v>1.290521096910765E-3</v>
      </c>
      <c r="K1527" s="1" cm="1">
        <f t="array" ref="K1527">SUMPRODUCT(("T_TW-icegsl-S2"=[1]OUT_TransportEnergyCons!$A$3:$A$1000)*1,("var_fout"=[1]OUT_TransportEnergyCons!$B$3:$B$1000)*1,ISNUMBER(SEARCH("TPTWL",[1]OUT_TransportEnergyCons!$C$3:$C$1000))*1,[1]OUT_TransportEnergyCons!I$3:I$1000)</f>
        <v>6.4498576920349836E-4</v>
      </c>
    </row>
    <row r="1528" spans="2:11" x14ac:dyDescent="0.35">
      <c r="B1528" t="str">
        <f t="shared" si="948"/>
        <v>SPS2</v>
      </c>
      <c r="C1528" t="str">
        <f t="shared" si="946"/>
        <v>CH</v>
      </c>
      <c r="D1528" t="s">
        <v>1516</v>
      </c>
      <c r="E1528" t="str">
        <f t="shared" si="947"/>
        <v>Billion km/yr.</v>
      </c>
      <c r="F1528" s="1" cm="1">
        <f t="array" ref="F1528">SUMPRODUCT(("T_TW-icegsl-S3"=[1]OUT_TransportEnergyCons!$A$3:$A$1000)*1,("var_fout"=[1]OUT_TransportEnergyCons!$B$3:$B$1000)*1,ISNUMBER(SEARCH("TPTWL",[1]OUT_TransportEnergyCons!$C$3:$C$1000))*1,[1]OUT_TransportEnergyCons!D$3:D$1000)</f>
        <v>0.11863632008277257</v>
      </c>
      <c r="G1528" s="1" cm="1">
        <f t="array" ref="G1528">SUMPRODUCT(("T_TW-icegsl-S3"=[1]OUT_TransportEnergyCons!$A$3:$A$1000)*1,("var_fout"=[1]OUT_TransportEnergyCons!$B$3:$B$1000)*1,ISNUMBER(SEARCH("TPTWL",[1]OUT_TransportEnergyCons!$C$3:$C$1000))*1,[1]OUT_TransportEnergyCons!E$3:E$1000)</f>
        <v>0.14680120660530901</v>
      </c>
      <c r="H1528" s="1" cm="1">
        <f t="array" ref="H1528">SUMPRODUCT(("T_TW-icegsl-S3"=[1]OUT_TransportEnergyCons!$A$3:$A$1000)*1,("var_fout"=[1]OUT_TransportEnergyCons!$B$3:$B$1000)*1,ISNUMBER(SEARCH("TPTWL",[1]OUT_TransportEnergyCons!$C$3:$C$1000))*1,[1]OUT_TransportEnergyCons!F$3:F$1000)</f>
        <v>0.15367930926645534</v>
      </c>
      <c r="I1528" s="1" cm="1">
        <f t="array" ref="I1528">SUMPRODUCT(("T_TW-icegsl-S3"=[1]OUT_TransportEnergyCons!$A$3:$A$1000)*1,("var_fout"=[1]OUT_TransportEnergyCons!$B$3:$B$1000)*1,ISNUMBER(SEARCH("TPTWL",[1]OUT_TransportEnergyCons!$C$3:$C$1000))*1,[1]OUT_TransportEnergyCons!G$3:G$1000)</f>
        <v>0.144484610112807</v>
      </c>
      <c r="J1528" s="1" cm="1">
        <f t="array" ref="J1528">SUMPRODUCT(("T_TW-icegsl-S3"=[1]OUT_TransportEnergyCons!$A$3:$A$1000)*1,("var_fout"=[1]OUT_TransportEnergyCons!$B$3:$B$1000)*1,ISNUMBER(SEARCH("TPTWL",[1]OUT_TransportEnergyCons!$C$3:$C$1000))*1,[1]OUT_TransportEnergyCons!H$3:H$1000)</f>
        <v>3.423764368591721E-2</v>
      </c>
      <c r="K1528" s="1" cm="1">
        <f t="array" ref="K1528">SUMPRODUCT(("T_TW-icegsl-S3"=[1]OUT_TransportEnergyCons!$A$3:$A$1000)*1,("var_fout"=[1]OUT_TransportEnergyCons!$B$3:$B$1000)*1,ISNUMBER(SEARCH("TPTWL",[1]OUT_TransportEnergyCons!$C$3:$C$1000))*1,[1]OUT_TransportEnergyCons!I$3:I$1000)</f>
        <v>4.599625187258552E-4</v>
      </c>
    </row>
    <row r="1529" spans="2:11" x14ac:dyDescent="0.35">
      <c r="B1529" t="str">
        <f t="shared" si="948"/>
        <v>SPS2</v>
      </c>
      <c r="C1529" t="str">
        <f t="shared" si="946"/>
        <v>CH</v>
      </c>
      <c r="D1529" t="s">
        <v>1517</v>
      </c>
      <c r="E1529" t="str">
        <f t="shared" si="947"/>
        <v>Billion km/yr.</v>
      </c>
      <c r="F1529" s="1" cm="1">
        <f t="array" ref="F1529">SUMPRODUCT(("T_TW-icegsl-S4"=[1]OUT_TransportEnergyCons!$A$3:$A$1000)*1,("var_fout"=[1]OUT_TransportEnergyCons!$B$3:$B$1000)*1,ISNUMBER(SEARCH("TPTWL",[1]OUT_TransportEnergyCons!$C$3:$C$1000))*1,[1]OUT_TransportEnergyCons!D$3:D$1000)</f>
        <v>7.1580198798137568E-2</v>
      </c>
      <c r="G1529" s="1" cm="1">
        <f t="array" ref="G1529">SUMPRODUCT(("T_TW-icegsl-S4"=[1]OUT_TransportEnergyCons!$A$3:$A$1000)*1,("var_fout"=[1]OUT_TransportEnergyCons!$B$3:$B$1000)*1,ISNUMBER(SEARCH("TPTWL",[1]OUT_TransportEnergyCons!$C$3:$C$1000))*1,[1]OUT_TransportEnergyCons!E$3:E$1000)</f>
        <v>8.6513725670300495E-2</v>
      </c>
      <c r="H1529" s="1" cm="1">
        <f t="array" ref="H1529">SUMPRODUCT(("T_TW-icegsl-S4"=[1]OUT_TransportEnergyCons!$A$3:$A$1000)*1,("var_fout"=[1]OUT_TransportEnergyCons!$B$3:$B$1000)*1,ISNUMBER(SEARCH("TPTWL",[1]OUT_TransportEnergyCons!$C$3:$C$1000))*1,[1]OUT_TransportEnergyCons!F$3:F$1000)</f>
        <v>9.0393235041513934E-2</v>
      </c>
      <c r="I1529" s="1" cm="1">
        <f t="array" ref="I1529">SUMPRODUCT(("T_TW-icegsl-S4"=[1]OUT_TransportEnergyCons!$A$3:$A$1000)*1,("var_fout"=[1]OUT_TransportEnergyCons!$B$3:$B$1000)*1,ISNUMBER(SEARCH("TPTWL",[1]OUT_TransportEnergyCons!$C$3:$C$1000))*1,[1]OUT_TransportEnergyCons!G$3:G$1000)</f>
        <v>8.5665722122496485E-2</v>
      </c>
      <c r="J1529" s="1" cm="1">
        <f t="array" ref="J1529">SUMPRODUCT(("T_TW-icegsl-S4"=[1]OUT_TransportEnergyCons!$A$3:$A$1000)*1,("var_fout"=[1]OUT_TransportEnergyCons!$B$3:$B$1000)*1,ISNUMBER(SEARCH("TPTWL",[1]OUT_TransportEnergyCons!$C$3:$C$1000))*1,[1]OUT_TransportEnergyCons!H$3:H$1000)</f>
        <v>7.7766332715953568E-2</v>
      </c>
      <c r="K1529" s="1" cm="1">
        <f t="array" ref="K1529">SUMPRODUCT(("T_TW-icegsl-S4"=[1]OUT_TransportEnergyCons!$A$3:$A$1000)*1,("var_fout"=[1]OUT_TransportEnergyCons!$B$3:$B$1000)*1,ISNUMBER(SEARCH("TPTWL",[1]OUT_TransportEnergyCons!$C$3:$C$1000))*1,[1]OUT_TransportEnergyCons!I$3:I$1000)</f>
        <v>9.6790576681734814E-4</v>
      </c>
    </row>
    <row r="1530" spans="2:11" x14ac:dyDescent="0.35">
      <c r="B1530" s="9" t="str">
        <f t="shared" si="948"/>
        <v>SPS2</v>
      </c>
      <c r="C1530" s="9" t="str">
        <f t="shared" si="946"/>
        <v>CH</v>
      </c>
      <c r="D1530" s="2" t="s">
        <v>1519</v>
      </c>
      <c r="E1530" s="2" t="s">
        <v>1230</v>
      </c>
      <c r="F1530" s="23" t="s">
        <v>1528</v>
      </c>
      <c r="G1530" s="23" t="s">
        <v>1528</v>
      </c>
      <c r="H1530" s="23" t="s">
        <v>1528</v>
      </c>
      <c r="I1530" s="23" t="s">
        <v>1528</v>
      </c>
      <c r="J1530" s="23" t="s">
        <v>1528</v>
      </c>
      <c r="K1530" s="23" t="s">
        <v>1528</v>
      </c>
    </row>
    <row r="1531" spans="2:11" x14ac:dyDescent="0.35">
      <c r="B1531" t="str">
        <f t="shared" si="948"/>
        <v>SPS2</v>
      </c>
      <c r="C1531" t="str">
        <f t="shared" si="946"/>
        <v>CH</v>
      </c>
      <c r="D1531" t="s">
        <v>1520</v>
      </c>
      <c r="E1531" t="s">
        <v>1230</v>
      </c>
      <c r="F1531" s="1">
        <f t="shared" ref="F1531:K1534" si="949">IFERROR(F1517/F1497,"-")</f>
        <v>11.098927012431897</v>
      </c>
      <c r="G1531" s="1">
        <f t="shared" si="949"/>
        <v>11.109724041640471</v>
      </c>
      <c r="H1531" s="1">
        <f t="shared" si="949"/>
        <v>11.123418549685681</v>
      </c>
      <c r="I1531" s="1">
        <f t="shared" si="949"/>
        <v>11.219357189136172</v>
      </c>
      <c r="J1531" s="1">
        <f t="shared" si="949"/>
        <v>11.584446047458565</v>
      </c>
      <c r="K1531" s="1">
        <f t="shared" si="949"/>
        <v>11.832865082304256</v>
      </c>
    </row>
    <row r="1532" spans="2:11" x14ac:dyDescent="0.35">
      <c r="B1532" t="str">
        <f t="shared" si="948"/>
        <v>SPS2</v>
      </c>
      <c r="C1532" t="str">
        <f t="shared" si="946"/>
        <v>CH</v>
      </c>
      <c r="D1532" t="s">
        <v>1521</v>
      </c>
      <c r="E1532" t="s">
        <v>1230</v>
      </c>
      <c r="F1532" s="1">
        <f t="shared" si="949"/>
        <v>6.284524362935997</v>
      </c>
      <c r="G1532" s="1">
        <f t="shared" si="949"/>
        <v>6.293388484852195</v>
      </c>
      <c r="H1532" s="1">
        <f t="shared" si="949"/>
        <v>6.3085691004855278</v>
      </c>
      <c r="I1532" s="1">
        <f t="shared" si="949"/>
        <v>6.3398107386907725</v>
      </c>
      <c r="J1532" s="1">
        <f t="shared" si="949"/>
        <v>6.536319773195026</v>
      </c>
      <c r="K1532" s="1">
        <f t="shared" si="949"/>
        <v>6.6345900636363195</v>
      </c>
    </row>
    <row r="1533" spans="2:11" x14ac:dyDescent="0.35">
      <c r="B1533" t="str">
        <f t="shared" si="948"/>
        <v>SPS2</v>
      </c>
      <c r="C1533" t="str">
        <f t="shared" si="946"/>
        <v>CH</v>
      </c>
      <c r="D1533" t="s">
        <v>1522</v>
      </c>
      <c r="E1533" t="s">
        <v>1230</v>
      </c>
      <c r="F1533" s="1">
        <f t="shared" si="949"/>
        <v>4.0901432735634886</v>
      </c>
      <c r="G1533" s="1">
        <f t="shared" si="949"/>
        <v>4.1003463780307294</v>
      </c>
      <c r="H1533" s="1">
        <f t="shared" si="949"/>
        <v>4.1144309733451925</v>
      </c>
      <c r="I1533" s="1">
        <f t="shared" si="949"/>
        <v>4.1362031194361037</v>
      </c>
      <c r="J1533" s="1">
        <f t="shared" si="949"/>
        <v>4.2103211573415695</v>
      </c>
      <c r="K1533" s="1">
        <f t="shared" si="949"/>
        <v>4.3299043830674639</v>
      </c>
    </row>
    <row r="1534" spans="2:11" x14ac:dyDescent="0.35">
      <c r="B1534" t="str">
        <f t="shared" si="948"/>
        <v>SPS2</v>
      </c>
      <c r="C1534" t="str">
        <f t="shared" si="946"/>
        <v>CH</v>
      </c>
      <c r="D1534" t="s">
        <v>1523</v>
      </c>
      <c r="E1534" t="s">
        <v>1230</v>
      </c>
      <c r="F1534" s="1">
        <f t="shared" si="949"/>
        <v>3.7650534829600391</v>
      </c>
      <c r="G1534" s="1">
        <f t="shared" si="949"/>
        <v>3.7753810460563852</v>
      </c>
      <c r="H1534" s="1">
        <f t="shared" si="949"/>
        <v>3.7907958452543524</v>
      </c>
      <c r="I1534" s="1">
        <f t="shared" si="949"/>
        <v>3.8100549416252556</v>
      </c>
      <c r="J1534" s="1">
        <f t="shared" si="949"/>
        <v>3.859677925913227</v>
      </c>
      <c r="K1534" s="1">
        <f t="shared" si="949"/>
        <v>3.9557965498038041</v>
      </c>
    </row>
    <row r="1535" spans="2:11" x14ac:dyDescent="0.35">
      <c r="B1535" t="str">
        <f t="shared" si="948"/>
        <v>SPS2</v>
      </c>
      <c r="C1535" t="str">
        <f t="shared" si="946"/>
        <v>CH</v>
      </c>
      <c r="D1535" t="s">
        <v>1524</v>
      </c>
      <c r="E1535" t="s">
        <v>1230</v>
      </c>
      <c r="F1535" s="1" t="str">
        <f t="shared" ref="F1535:K1538" si="950">IFERROR(F1521/F1502,"-")</f>
        <v>-</v>
      </c>
      <c r="G1535" s="1" t="str">
        <f t="shared" si="950"/>
        <v>-</v>
      </c>
      <c r="H1535" s="1" t="str">
        <f t="shared" si="950"/>
        <v>-</v>
      </c>
      <c r="I1535" s="1">
        <f t="shared" si="950"/>
        <v>4.6391179485367804</v>
      </c>
      <c r="J1535" s="1">
        <f t="shared" si="950"/>
        <v>4.7417784450075988</v>
      </c>
      <c r="K1535" s="1">
        <f t="shared" si="950"/>
        <v>4.8655212917092792</v>
      </c>
    </row>
    <row r="1536" spans="2:11" x14ac:dyDescent="0.35">
      <c r="B1536" t="str">
        <f t="shared" si="948"/>
        <v>SPS2</v>
      </c>
      <c r="C1536" t="str">
        <f t="shared" si="946"/>
        <v>CH</v>
      </c>
      <c r="D1536" t="s">
        <v>1525</v>
      </c>
      <c r="E1536" t="s">
        <v>1230</v>
      </c>
      <c r="F1536" s="1" t="str">
        <f t="shared" si="950"/>
        <v>-</v>
      </c>
      <c r="G1536" s="1" t="str">
        <f t="shared" si="950"/>
        <v>-</v>
      </c>
      <c r="H1536" s="1" t="str">
        <f t="shared" si="950"/>
        <v>-</v>
      </c>
      <c r="I1536" s="1">
        <f t="shared" si="950"/>
        <v>2.7008868509993591</v>
      </c>
      <c r="J1536" s="1">
        <f t="shared" si="950"/>
        <v>2.7491093356778746</v>
      </c>
      <c r="K1536" s="1">
        <f t="shared" si="950"/>
        <v>2.8086497325908213</v>
      </c>
    </row>
    <row r="1537" spans="2:11" x14ac:dyDescent="0.35">
      <c r="B1537" t="str">
        <f t="shared" si="948"/>
        <v>SPS2</v>
      </c>
      <c r="C1537" t="str">
        <f t="shared" si="946"/>
        <v>CH</v>
      </c>
      <c r="D1537" t="s">
        <v>1526</v>
      </c>
      <c r="E1537" t="s">
        <v>1230</v>
      </c>
      <c r="F1537" s="1" t="str">
        <f t="shared" si="950"/>
        <v>-</v>
      </c>
      <c r="G1537" s="1" t="str">
        <f t="shared" si="950"/>
        <v>-</v>
      </c>
      <c r="H1537" s="1" t="str">
        <f t="shared" si="950"/>
        <v>-</v>
      </c>
      <c r="I1537" s="1">
        <f t="shared" si="950"/>
        <v>1.7606485351727315</v>
      </c>
      <c r="J1537" s="1">
        <f t="shared" si="950"/>
        <v>1.7877985938072922</v>
      </c>
      <c r="K1537" s="1">
        <f t="shared" si="950"/>
        <v>1.8216143498789708</v>
      </c>
    </row>
    <row r="1538" spans="2:11" x14ac:dyDescent="0.35">
      <c r="B1538" t="str">
        <f t="shared" si="948"/>
        <v>SPS2</v>
      </c>
      <c r="C1538" t="str">
        <f t="shared" si="946"/>
        <v>CH</v>
      </c>
      <c r="D1538" t="s">
        <v>1527</v>
      </c>
      <c r="E1538" t="s">
        <v>1230</v>
      </c>
      <c r="F1538" s="1" t="str">
        <f t="shared" si="950"/>
        <v>-</v>
      </c>
      <c r="G1538" s="1" t="str">
        <f t="shared" si="950"/>
        <v>-</v>
      </c>
      <c r="H1538" s="1" t="str">
        <f t="shared" si="950"/>
        <v>-</v>
      </c>
      <c r="I1538" s="1">
        <f t="shared" si="950"/>
        <v>1.5620411785777202</v>
      </c>
      <c r="J1538" s="1">
        <f t="shared" si="950"/>
        <v>1.5911138552375683</v>
      </c>
      <c r="K1538" s="1">
        <f t="shared" si="950"/>
        <v>1.6156564700921288</v>
      </c>
    </row>
    <row r="1539" spans="2:11" x14ac:dyDescent="0.35">
      <c r="B1539" t="str">
        <f t="shared" si="948"/>
        <v>SPS2</v>
      </c>
      <c r="C1539" t="str">
        <f t="shared" si="946"/>
        <v>CH</v>
      </c>
      <c r="D1539" t="s">
        <v>1583</v>
      </c>
      <c r="E1539" t="s">
        <v>1230</v>
      </c>
      <c r="F1539" s="1">
        <f t="shared" ref="F1539:K1543" si="951">IFERROR(F1525/F1511,"-")</f>
        <v>0.77116510534577742</v>
      </c>
      <c r="G1539" s="1">
        <f t="shared" si="951"/>
        <v>0.78723832996731979</v>
      </c>
      <c r="H1539" s="1">
        <f t="shared" si="951"/>
        <v>0.81134816689963385</v>
      </c>
      <c r="I1539" s="1">
        <f t="shared" si="951"/>
        <v>0.85153122845348983</v>
      </c>
      <c r="J1539" s="1" t="str">
        <f t="shared" si="951"/>
        <v>-</v>
      </c>
      <c r="K1539" s="1" t="str">
        <f t="shared" si="951"/>
        <v>-</v>
      </c>
    </row>
    <row r="1540" spans="2:11" x14ac:dyDescent="0.35">
      <c r="B1540" t="str">
        <f t="shared" si="948"/>
        <v>SPS2</v>
      </c>
      <c r="C1540" t="str">
        <f t="shared" si="946"/>
        <v>CH</v>
      </c>
      <c r="D1540" t="s">
        <v>1584</v>
      </c>
      <c r="E1540" t="s">
        <v>1230</v>
      </c>
      <c r="F1540" s="1">
        <f t="shared" si="951"/>
        <v>1.9078836334110874</v>
      </c>
      <c r="G1540" s="1">
        <f t="shared" si="951"/>
        <v>1.9206814181054379</v>
      </c>
      <c r="H1540" s="1">
        <f t="shared" si="951"/>
        <v>1.9367227233619009</v>
      </c>
      <c r="I1540" s="1">
        <f t="shared" si="951"/>
        <v>1.9723441142567759</v>
      </c>
      <c r="J1540" s="1">
        <f t="shared" si="951"/>
        <v>2.0288497592371213</v>
      </c>
      <c r="K1540" s="1">
        <f t="shared" si="951"/>
        <v>2.0505714441476317</v>
      </c>
    </row>
    <row r="1541" spans="2:11" x14ac:dyDescent="0.35">
      <c r="B1541" t="str">
        <f t="shared" si="948"/>
        <v>SPS2</v>
      </c>
      <c r="C1541" t="str">
        <f t="shared" si="946"/>
        <v>CH</v>
      </c>
      <c r="D1541" t="s">
        <v>1585</v>
      </c>
      <c r="E1541" t="s">
        <v>1230</v>
      </c>
      <c r="F1541" s="1">
        <f t="shared" si="951"/>
        <v>1.1027629847473213</v>
      </c>
      <c r="G1541" s="1">
        <f t="shared" si="951"/>
        <v>1.1043177632743593</v>
      </c>
      <c r="H1541" s="1">
        <f t="shared" si="951"/>
        <v>1.1044022100789654</v>
      </c>
      <c r="I1541" s="1">
        <f t="shared" si="951"/>
        <v>1.1049128682650518</v>
      </c>
      <c r="J1541" s="1">
        <f t="shared" si="951"/>
        <v>1.1795625534390546</v>
      </c>
      <c r="K1541" s="1">
        <f t="shared" si="951"/>
        <v>1.2115766467064664</v>
      </c>
    </row>
    <row r="1542" spans="2:11" x14ac:dyDescent="0.35">
      <c r="B1542" t="str">
        <f t="shared" si="948"/>
        <v>SPS2</v>
      </c>
      <c r="C1542" t="str">
        <f t="shared" si="946"/>
        <v>CH</v>
      </c>
      <c r="D1542" t="s">
        <v>1586</v>
      </c>
      <c r="E1542" t="s">
        <v>1230</v>
      </c>
      <c r="F1542" s="1">
        <f t="shared" si="951"/>
        <v>0.72942698043636967</v>
      </c>
      <c r="G1542" s="1">
        <f t="shared" si="951"/>
        <v>0.73017997557009739</v>
      </c>
      <c r="H1542" s="1">
        <f t="shared" si="951"/>
        <v>0.7302054325087628</v>
      </c>
      <c r="I1542" s="1">
        <f t="shared" si="951"/>
        <v>0.73025994911862957</v>
      </c>
      <c r="J1542" s="1">
        <f t="shared" si="951"/>
        <v>0.73194839625603314</v>
      </c>
      <c r="K1542" s="1">
        <f t="shared" si="951"/>
        <v>0.79258261463665414</v>
      </c>
    </row>
    <row r="1543" spans="2:11" x14ac:dyDescent="0.35">
      <c r="B1543" t="str">
        <f t="shared" si="948"/>
        <v>SPS2</v>
      </c>
      <c r="C1543" t="str">
        <f t="shared" si="946"/>
        <v>CH</v>
      </c>
      <c r="D1543" t="s">
        <v>1587</v>
      </c>
      <c r="E1543" t="s">
        <v>1230</v>
      </c>
      <c r="F1543" s="1">
        <f t="shared" si="951"/>
        <v>0.67580166525687257</v>
      </c>
      <c r="G1543" s="1">
        <f t="shared" si="951"/>
        <v>0.67642205965587721</v>
      </c>
      <c r="H1543" s="1">
        <f t="shared" si="951"/>
        <v>0.67644705234355629</v>
      </c>
      <c r="I1543" s="1">
        <f t="shared" si="951"/>
        <v>0.67648810178253049</v>
      </c>
      <c r="J1543" s="1">
        <f t="shared" si="951"/>
        <v>0.67668856550930534</v>
      </c>
      <c r="K1543" s="1">
        <f t="shared" si="951"/>
        <v>0.69710577154847098</v>
      </c>
    </row>
    <row r="1544" spans="2:11" x14ac:dyDescent="0.35">
      <c r="B1544" s="2" t="str">
        <f t="shared" si="948"/>
        <v>SPS2</v>
      </c>
      <c r="C1544" s="2" t="str">
        <f>C1543</f>
        <v>CH</v>
      </c>
      <c r="D1544" s="2" t="s">
        <v>1536</v>
      </c>
      <c r="E1544" s="2" t="s">
        <v>8</v>
      </c>
      <c r="F1544" s="3">
        <f>F1545+F1548+F1550+F1557+F1565</f>
        <v>16.712052329282212</v>
      </c>
      <c r="G1544" s="3">
        <f t="shared" ref="G1544:K1544" si="952">G1545+G1548+G1550+G1557+G1565</f>
        <v>15.613619148361723</v>
      </c>
      <c r="H1544" s="3">
        <f t="shared" si="952"/>
        <v>13.994887931990485</v>
      </c>
      <c r="I1544" s="3">
        <f t="shared" si="952"/>
        <v>10.322498393440826</v>
      </c>
      <c r="J1544" s="3">
        <f t="shared" si="952"/>
        <v>7.3370252837088641</v>
      </c>
      <c r="K1544" s="3">
        <f t="shared" si="952"/>
        <v>7.9465675495804016</v>
      </c>
    </row>
    <row r="1545" spans="2:11" x14ac:dyDescent="0.35">
      <c r="B1545" t="str">
        <f t="shared" si="948"/>
        <v>SPS2</v>
      </c>
      <c r="C1545" t="str">
        <f t="shared" ref="C1545:C1590" si="953">C1544</f>
        <v>CH</v>
      </c>
      <c r="D1545" t="s">
        <v>1537</v>
      </c>
      <c r="E1545" t="str">
        <f>E1544</f>
        <v>PJ/yr.</v>
      </c>
      <c r="F1545" s="1">
        <f>SUM(F1546:F1547)</f>
        <v>7.4992392990442164E-2</v>
      </c>
      <c r="G1545" s="1">
        <f t="shared" ref="G1545:K1545" si="954">SUM(G1546:G1547)</f>
        <v>0.12788452365833566</v>
      </c>
      <c r="H1545" s="1">
        <f t="shared" si="954"/>
        <v>0.16400995741845875</v>
      </c>
      <c r="I1545" s="1">
        <f t="shared" si="954"/>
        <v>3.3478211302866687</v>
      </c>
      <c r="J1545" s="1">
        <f t="shared" si="954"/>
        <v>7.3358271796195673</v>
      </c>
      <c r="K1545" s="1">
        <f t="shared" si="954"/>
        <v>7.946520531567888</v>
      </c>
    </row>
    <row r="1546" spans="2:11" x14ac:dyDescent="0.35">
      <c r="B1546" t="str">
        <f t="shared" si="948"/>
        <v>SPS2</v>
      </c>
      <c r="C1546" t="str">
        <f t="shared" si="953"/>
        <v>CH</v>
      </c>
      <c r="D1546" t="s">
        <v>1544</v>
      </c>
      <c r="E1546" t="str">
        <f t="shared" ref="E1546:E1570" si="955">E1545</f>
        <v>PJ/yr.</v>
      </c>
      <c r="F1546" s="1" cm="1">
        <f t="array" ref="F1546">SUMPRODUCT(("TFLGV-BeVELCExt"=[1]OUT_TransportEnergyCons!$A$3:$A$1000)*1,("Var_Fin"=[1]OUT_TransportEnergyCons!$B$3:$B$1000)*1,ISNUMBER(SEARCH("ELC",[1]OUT_TransportEnergyCons!$C$3:$C$1000))*1,[1]OUT_TransportEnergyCons!D$3:D$1000)</f>
        <v>4.0235485273924967E-2</v>
      </c>
      <c r="G1546" s="1" cm="1">
        <f t="array" ref="G1546">SUMPRODUCT(("TFLGV-BeVELCExt"=[1]OUT_TransportEnergyCons!$A$3:$A$1000)*1,("Var_Fin"=[1]OUT_TransportEnergyCons!$B$3:$B$1000)*1,ISNUMBER(SEARCH("ELC",[1]OUT_TransportEnergyCons!$C$3:$C$1000))*1,[1]OUT_TransportEnergyCons!E$3:E$1000)</f>
        <v>3.4781940943887209E-2</v>
      </c>
      <c r="H1546" s="1" cm="1">
        <f t="array" ref="H1546">SUMPRODUCT(("TFLGV-BeVELCExt"=[1]OUT_TransportEnergyCons!$A$3:$A$1000)*1,("Var_Fin"=[1]OUT_TransportEnergyCons!$B$3:$B$1000)*1,ISNUMBER(SEARCH("ELC",[1]OUT_TransportEnergyCons!$C$3:$C$1000))*1,[1]OUT_TransportEnergyCons!F$3:F$1000)</f>
        <v>2.6244796875066777E-2</v>
      </c>
      <c r="I1546" s="1" cm="1">
        <f t="array" ref="I1546">SUMPRODUCT(("TFLGV-BeVELCExt"=[1]OUT_TransportEnergyCons!$A$3:$A$1000)*1,("Var_Fin"=[1]OUT_TransportEnergyCons!$B$3:$B$1000)*1,ISNUMBER(SEARCH("ELC",[1]OUT_TransportEnergyCons!$C$3:$C$1000))*1,[1]OUT_TransportEnergyCons!G$3:G$1000)</f>
        <v>1.2951020978269072E-2</v>
      </c>
      <c r="J1546" s="1" cm="1">
        <f t="array" ref="J1546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6" s="1" cm="1">
        <f t="array" ref="K1546">SUMPRODUCT(("TFLGV-BeVELCExt"=[1]OUT_TransportEnergyCons!$A$3:$A$1000)*1,("Var_Fin"=[1]OUT_TransportEnergyCons!$B$3:$B$1000)*1,ISNUMBER(SEARCH("ELC",[1]OUT_TransportEnergyCons!$C$3:$C$1000))*1,[1]OUT_TransportEnergyCons!I$3:I$1000)</f>
        <v>0</v>
      </c>
    </row>
    <row r="1547" spans="2:11" x14ac:dyDescent="0.35">
      <c r="B1547" t="str">
        <f t="shared" si="948"/>
        <v>SPS2</v>
      </c>
      <c r="C1547" t="str">
        <f t="shared" si="953"/>
        <v>CH</v>
      </c>
      <c r="D1547" t="s">
        <v>1545</v>
      </c>
      <c r="E1547" t="str">
        <f t="shared" si="955"/>
        <v>PJ/yr.</v>
      </c>
      <c r="F1547" s="1" cm="1">
        <f t="array" ref="F1547">SUMPRODUCT(("TFLGV-BEVELC"=[1]OUT_TransportEnergyCons!$A$3:$A$1000)*1,("Var_Fin"=[1]OUT_TransportEnergyCons!$B$3:$B$1000)*1,ISNUMBER(SEARCH("ELC",[1]OUT_TransportEnergyCons!$C$3:$C$1000))*1,[1]OUT_TransportEnergyCons!D$3:D$1000)</f>
        <v>3.4756907716517189E-2</v>
      </c>
      <c r="G1547" s="1" cm="1">
        <f t="array" ref="G1547">SUMPRODUCT(("TFLGV-BEVELC"=[1]OUT_TransportEnergyCons!$A$3:$A$1000)*1,("Var_Fin"=[1]OUT_TransportEnergyCons!$B$3:$B$1000)*1,ISNUMBER(SEARCH("ELC",[1]OUT_TransportEnergyCons!$C$3:$C$1000))*1,[1]OUT_TransportEnergyCons!E$3:E$1000)</f>
        <v>9.3102582714448462E-2</v>
      </c>
      <c r="H1547" s="1" cm="1">
        <f t="array" ref="H1547">SUMPRODUCT(("TFLGV-BEVELC"=[1]OUT_TransportEnergyCons!$A$3:$A$1000)*1,("Var_Fin"=[1]OUT_TransportEnergyCons!$B$3:$B$1000)*1,ISNUMBER(SEARCH("ELC",[1]OUT_TransportEnergyCons!$C$3:$C$1000))*1,[1]OUT_TransportEnergyCons!F$3:F$1000)</f>
        <v>0.13776516054339197</v>
      </c>
      <c r="I1547" s="1" cm="1">
        <f t="array" ref="I1547">SUMPRODUCT(("TFLGV-BEVELC"=[1]OUT_TransportEnergyCons!$A$3:$A$1000)*1,("Var_Fin"=[1]OUT_TransportEnergyCons!$B$3:$B$1000)*1,ISNUMBER(SEARCH("ELC",[1]OUT_TransportEnergyCons!$C$3:$C$1000))*1,[1]OUT_TransportEnergyCons!G$3:G$1000)</f>
        <v>3.3348701093083997</v>
      </c>
      <c r="J1547" s="1" cm="1">
        <f t="array" ref="J1547">SUMPRODUCT(("TFLGV-BEVELC"=[1]OUT_TransportEnergyCons!$A$3:$A$1000)*1,("Var_Fin"=[1]OUT_TransportEnergyCons!$B$3:$B$1000)*1,ISNUMBER(SEARCH("ELC",[1]OUT_TransportEnergyCons!$C$3:$C$1000))*1,[1]OUT_TransportEnergyCons!H$3:H$1000)</f>
        <v>7.3358271796195673</v>
      </c>
      <c r="K1547" s="1" cm="1">
        <f t="array" ref="K1547">SUMPRODUCT(("TFLGV-BEVELC"=[1]OUT_TransportEnergyCons!$A$3:$A$1000)*1,("Var_Fin"=[1]OUT_TransportEnergyCons!$B$3:$B$1000)*1,ISNUMBER(SEARCH("ELC",[1]OUT_TransportEnergyCons!$C$3:$C$1000))*1,[1]OUT_TransportEnergyCons!I$3:I$1000)</f>
        <v>7.946520531567888</v>
      </c>
    </row>
    <row r="1548" spans="2:11" x14ac:dyDescent="0.35">
      <c r="B1548" t="str">
        <f t="shared" si="948"/>
        <v>SPS2</v>
      </c>
      <c r="C1548" t="str">
        <f t="shared" si="953"/>
        <v>CH</v>
      </c>
      <c r="D1548" t="s">
        <v>1538</v>
      </c>
      <c r="E1548" t="str">
        <f t="shared" si="955"/>
        <v>PJ/yr.</v>
      </c>
      <c r="F1548" s="1">
        <f>F1549</f>
        <v>0</v>
      </c>
      <c r="G1548" s="1">
        <f t="shared" ref="G1548:K1548" si="956">G1549</f>
        <v>1.4342810384285613E-4</v>
      </c>
      <c r="H1548" s="1">
        <f t="shared" si="956"/>
        <v>2.1125671224418483E-4</v>
      </c>
      <c r="I1548" s="1">
        <f t="shared" si="956"/>
        <v>6.6301038614584594E-5</v>
      </c>
      <c r="J1548" s="1">
        <f t="shared" si="956"/>
        <v>5.1431686614613313E-5</v>
      </c>
      <c r="K1548" s="1">
        <f t="shared" si="956"/>
        <v>4.7018012513509674E-5</v>
      </c>
    </row>
    <row r="1549" spans="2:11" x14ac:dyDescent="0.35">
      <c r="B1549" t="str">
        <f t="shared" si="948"/>
        <v>SPS2</v>
      </c>
      <c r="C1549" t="str">
        <f t="shared" si="953"/>
        <v>CH</v>
      </c>
      <c r="D1549" t="s">
        <v>1546</v>
      </c>
      <c r="E1549" t="str">
        <f t="shared" si="955"/>
        <v>PJ/yr.</v>
      </c>
      <c r="F1549" s="1" cm="1">
        <f t="array" ref="F1549">SUMPRODUCT(("TFLGV-FCLH2O"=[1]OUT_TransportEnergyCons!$A$3:$A$1000)*1,("Var_Fin"=[1]OUT_TransportEnergyCons!$B$3:$B$1000)*1,ISNUMBER(SEARCH("h2",[1]OUT_TransportEnergyCons!$C$3:$C$1000))*1,[1]OUT_TransportEnergyCons!D$3:D$1000)</f>
        <v>0</v>
      </c>
      <c r="G1549" s="1" cm="1">
        <f t="array" ref="G1549">SUMPRODUCT(("TFLGV-FCLH2O"=[1]OUT_TransportEnergyCons!$A$3:$A$1000)*1,("Var_Fin"=[1]OUT_TransportEnergyCons!$B$3:$B$1000)*1,ISNUMBER(SEARCH("h2",[1]OUT_TransportEnergyCons!$C$3:$C$1000))*1,[1]OUT_TransportEnergyCons!E$3:E$1000)</f>
        <v>1.4342810384285613E-4</v>
      </c>
      <c r="H1549" s="1" cm="1">
        <f t="array" ref="H1549">SUMPRODUCT(("TFLGV-FCLH2O"=[1]OUT_TransportEnergyCons!$A$3:$A$1000)*1,("Var_Fin"=[1]OUT_TransportEnergyCons!$B$3:$B$1000)*1,ISNUMBER(SEARCH("h2",[1]OUT_TransportEnergyCons!$C$3:$C$1000))*1,[1]OUT_TransportEnergyCons!F$3:F$1000)</f>
        <v>2.1125671224418483E-4</v>
      </c>
      <c r="I1549" s="1" cm="1">
        <f t="array" ref="I1549">SUMPRODUCT(("TFLGV-FCLH2O"=[1]OUT_TransportEnergyCons!$A$3:$A$1000)*1,("Var_Fin"=[1]OUT_TransportEnergyCons!$B$3:$B$1000)*1,ISNUMBER(SEARCH("h2",[1]OUT_TransportEnergyCons!$C$3:$C$1000))*1,[1]OUT_TransportEnergyCons!G$3:G$1000)</f>
        <v>6.6301038614584594E-5</v>
      </c>
      <c r="J1549" s="1" cm="1">
        <f t="array" ref="J1549">SUMPRODUCT(("TFLGV-FCLH2O"=[1]OUT_TransportEnergyCons!$A$3:$A$1000)*1,("Var_Fin"=[1]OUT_TransportEnergyCons!$B$3:$B$1000)*1,ISNUMBER(SEARCH("h2",[1]OUT_TransportEnergyCons!$C$3:$C$1000))*1,[1]OUT_TransportEnergyCons!H$3:H$1000)</f>
        <v>5.1431686614613313E-5</v>
      </c>
      <c r="K1549" s="1" cm="1">
        <f t="array" ref="K1549">SUMPRODUCT(("TFLGV-FCLH2O"=[1]OUT_TransportEnergyCons!$A$3:$A$1000)*1,("Var_Fin"=[1]OUT_TransportEnergyCons!$B$3:$B$1000)*1,ISNUMBER(SEARCH("h2",[1]OUT_TransportEnergyCons!$C$3:$C$1000))*1,[1]OUT_TransportEnergyCons!I$3:I$1000)</f>
        <v>4.7018012513509674E-5</v>
      </c>
    </row>
    <row r="1550" spans="2:11" x14ac:dyDescent="0.35">
      <c r="B1550" t="str">
        <f t="shared" si="948"/>
        <v>SPS2</v>
      </c>
      <c r="C1550" t="str">
        <f t="shared" si="953"/>
        <v>CH</v>
      </c>
      <c r="D1550" t="s">
        <v>1539</v>
      </c>
      <c r="E1550" t="str">
        <f t="shared" si="955"/>
        <v>PJ/yr.</v>
      </c>
      <c r="F1550" s="1">
        <f>SUM(F1555:F1556)</f>
        <v>1.1884781030318337</v>
      </c>
      <c r="G1550" s="1">
        <f t="shared" ref="G1550:K1550" si="957">SUM(G1555:G1556)</f>
        <v>2.4298499905594055</v>
      </c>
      <c r="H1550" s="1">
        <f t="shared" si="957"/>
        <v>1.4356273626203375</v>
      </c>
      <c r="I1550" s="1">
        <f t="shared" si="957"/>
        <v>0.90546926860786692</v>
      </c>
      <c r="J1550" s="1">
        <f t="shared" si="957"/>
        <v>4.5718292360459129E-4</v>
      </c>
      <c r="K1550" s="1">
        <f t="shared" si="957"/>
        <v>0</v>
      </c>
    </row>
    <row r="1551" spans="2:11" x14ac:dyDescent="0.35">
      <c r="B1551" t="str">
        <f t="shared" si="948"/>
        <v>SPS2</v>
      </c>
      <c r="C1551" t="str">
        <f t="shared" si="953"/>
        <v>CH</v>
      </c>
      <c r="D1551" t="s">
        <v>1540</v>
      </c>
      <c r="E1551" t="str">
        <f t="shared" si="955"/>
        <v>PJ/yr.</v>
      </c>
      <c r="F1551" s="1">
        <f>F1550-F1552</f>
        <v>1.12342037895356</v>
      </c>
      <c r="G1551" s="1">
        <f t="shared" ref="G1551:K1551" si="958">G1550-G1552</f>
        <v>2.2968329717525049</v>
      </c>
      <c r="H1551" s="1">
        <f t="shared" si="958"/>
        <v>1.3570360466968867</v>
      </c>
      <c r="I1551" s="1">
        <f t="shared" si="958"/>
        <v>0.80478434958744915</v>
      </c>
      <c r="J1551" s="1">
        <f t="shared" si="958"/>
        <v>1.6290550601531881E-4</v>
      </c>
      <c r="K1551" s="1">
        <f t="shared" si="958"/>
        <v>0</v>
      </c>
    </row>
    <row r="1552" spans="2:11" x14ac:dyDescent="0.35">
      <c r="B1552" t="str">
        <f t="shared" si="948"/>
        <v>SPS2</v>
      </c>
      <c r="C1552" t="str">
        <f t="shared" si="953"/>
        <v>CH</v>
      </c>
      <c r="D1552" t="s">
        <v>1541</v>
      </c>
      <c r="E1552" t="str">
        <f t="shared" si="955"/>
        <v>PJ/yr.</v>
      </c>
      <c r="F1552" s="1">
        <f>SUM(F1553:F1554)</f>
        <v>6.5057724078273801E-2</v>
      </c>
      <c r="G1552" s="1">
        <f t="shared" ref="G1552:K1552" si="959">SUM(G1553:G1554)</f>
        <v>0.13301701880690084</v>
      </c>
      <c r="H1552" s="1">
        <f t="shared" si="959"/>
        <v>7.8591315923450714E-2</v>
      </c>
      <c r="I1552" s="1">
        <f t="shared" si="959"/>
        <v>0.10068491902041771</v>
      </c>
      <c r="J1552" s="1">
        <f t="shared" si="959"/>
        <v>2.9427741758927248E-4</v>
      </c>
      <c r="K1552" s="1">
        <f t="shared" si="959"/>
        <v>0</v>
      </c>
    </row>
    <row r="1553" spans="2:11" x14ac:dyDescent="0.35">
      <c r="B1553" t="str">
        <f t="shared" si="948"/>
        <v>SPS2</v>
      </c>
      <c r="C1553" t="str">
        <f t="shared" si="953"/>
        <v>CH</v>
      </c>
      <c r="D1553" t="s">
        <v>1542</v>
      </c>
      <c r="E1553" t="str">
        <f t="shared" si="955"/>
        <v>PJ/yr.</v>
      </c>
      <c r="F1553" s="1">
        <f>[1]Transport!B$25/SUM([1]Transport!B$21,[1]Transport!B$25)*F1550*(F$34+F$598)/(F$34+F$598+F$37)</f>
        <v>6.5057724078273801E-2</v>
      </c>
      <c r="G1553" s="1">
        <f>[1]Transport!C$25/SUM([1]Transport!C$21,[1]Transport!C$25)*G1550*(G$34+G$598)/(G$34+G$598+G$37)</f>
        <v>0.13301701880690084</v>
      </c>
      <c r="H1553" s="1">
        <f>[1]Transport!D$25/SUM([1]Transport!D$21,[1]Transport!D$25)*H1550*(H$34+H$598)/(H$34+H$598+H$37)</f>
        <v>7.8591315923450714E-2</v>
      </c>
      <c r="I1553" s="1">
        <f>[1]Transport!E$25/SUM([1]Transport!E$21,[1]Transport!E$25)*I1550*(I$34+I$598)/(I$34+I$598+I$37)</f>
        <v>0.10068491902041771</v>
      </c>
      <c r="J1553" s="1">
        <f>[1]Transport!F$25/SUM([1]Transport!F$21,[1]Transport!F$25)*J1550*(J$34+J$598)/(J$34+J$598+J$37)</f>
        <v>2.498844236760301E-4</v>
      </c>
      <c r="K1553" s="1">
        <f>[1]Transport!G$25/SUM([1]Transport!G$21,[1]Transport!G$25)*K1550*(K$34+K$598)/(K$34+K$598+K$37)</f>
        <v>0</v>
      </c>
    </row>
    <row r="1554" spans="2:11" x14ac:dyDescent="0.35">
      <c r="B1554" t="str">
        <f t="shared" si="948"/>
        <v>SPS2</v>
      </c>
      <c r="C1554" t="str">
        <f t="shared" si="953"/>
        <v>CH</v>
      </c>
      <c r="D1554" t="s">
        <v>1543</v>
      </c>
      <c r="E1554" t="str">
        <f t="shared" si="955"/>
        <v>PJ/yr.</v>
      </c>
      <c r="F1554" s="1">
        <f>(F$37+F$717)/([1]Transport!B$21+[1]Transport!B$25)*F1550</f>
        <v>0</v>
      </c>
      <c r="G1554" s="1">
        <f>(G$37+G$717)/([1]Transport!C$21+[1]Transport!C$25)*G1550</f>
        <v>0</v>
      </c>
      <c r="H1554" s="1">
        <f>(H$37+H$717)/([1]Transport!D$21+[1]Transport!D$25)*H1550</f>
        <v>0</v>
      </c>
      <c r="I1554" s="1">
        <f>(I$37+I$717)/([1]Transport!E$21+[1]Transport!E$25)*I1550</f>
        <v>0</v>
      </c>
      <c r="J1554" s="1">
        <f>(J$37+J$717)/([1]Transport!F$21+[1]Transport!F$25)*J1550</f>
        <v>4.439299391324239E-5</v>
      </c>
      <c r="K1554" s="1">
        <f>(K$37+K$717)/([1]Transport!G$21+[1]Transport!G$25)*K1550</f>
        <v>0</v>
      </c>
    </row>
    <row r="1555" spans="2:11" x14ac:dyDescent="0.35">
      <c r="B1555" t="str">
        <f t="shared" si="948"/>
        <v>SPS2</v>
      </c>
      <c r="C1555" t="str">
        <f t="shared" si="953"/>
        <v>CH</v>
      </c>
      <c r="D1555" t="s">
        <v>1589</v>
      </c>
      <c r="E1555" t="str">
        <f t="shared" si="955"/>
        <v>PJ/yr.</v>
      </c>
      <c r="F1555" s="1" cm="1">
        <f t="array" ref="F1555">SUMPRODUCT(("TFLGV-ICEGSLExt"=[1]OUT_TransportEnergyCons!$A$3:$A$1000)*1,("Var_Fin"=[1]OUT_TransportEnergyCons!$B$3:$B$1000)*1,ISNUMBER(SEARCH("gsl",[1]OUT_TransportEnergyCons!$C$3:$C$1000))*1,[1]OUT_TransportEnergyCons!D$3:D$1000)</f>
        <v>0.83163146364918938</v>
      </c>
      <c r="G1555" s="1" cm="1">
        <f t="array" ref="G1555">SUMPRODUCT(("TFLGV-ICEGSLExt"=[1]OUT_TransportEnergyCons!$A$3:$A$1000)*1,("Var_Fin"=[1]OUT_TransportEnergyCons!$B$3:$B$1000)*1,ISNUMBER(SEARCH("gsl",[1]OUT_TransportEnergyCons!$C$3:$C$1000))*1,[1]OUT_TransportEnergyCons!E$3:E$1000)</f>
        <v>1.7673041678325319</v>
      </c>
      <c r="H1555" s="1" cm="1">
        <f t="array" ref="H1555">SUMPRODUCT(("TFLGV-ICEGSLExt"=[1]OUT_TransportEnergyCons!$A$3:$A$1000)*1,("Var_Fin"=[1]OUT_TransportEnergyCons!$B$3:$B$1000)*1,ISNUMBER(SEARCH("gsl",[1]OUT_TransportEnergyCons!$C$3:$C$1000))*1,[1]OUT_TransportEnergyCons!F$3:F$1000)</f>
        <v>0.54532449982131692</v>
      </c>
      <c r="I1555" s="1" cm="1">
        <f t="array" ref="I1555">SUMPRODUCT(("TFLGV-ICEGSLExt"=[1]OUT_TransportEnergyCons!$A$3:$A$1000)*1,("Var_Fin"=[1]OUT_TransportEnergyCons!$B$3:$B$1000)*1,ISNUMBER(SEARCH("gsl",[1]OUT_TransportEnergyCons!$C$3:$C$1000))*1,[1]OUT_TransportEnergyCons!G$3:G$1000)</f>
        <v>0.27089492778586977</v>
      </c>
      <c r="J1555" s="1" cm="1">
        <f t="array" ref="J1555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5" s="1" cm="1">
        <f t="array" ref="K1555">SUMPRODUCT(("TFLGV-ICEGSLExt"=[1]OUT_TransportEnergyCons!$A$3:$A$1000)*1,("Var_Fin"=[1]OUT_TransportEnergyCons!$B$3:$B$1000)*1,ISNUMBER(SEARCH("gsl",[1]OUT_TransportEnergyCons!$C$3:$C$1000))*1,[1]OUT_TransportEnergyCons!I$3:I$1000)</f>
        <v>0</v>
      </c>
    </row>
    <row r="1556" spans="2:11" x14ac:dyDescent="0.35">
      <c r="B1556" t="str">
        <f t="shared" si="948"/>
        <v>SPS2</v>
      </c>
      <c r="C1556" t="str">
        <f t="shared" si="953"/>
        <v>CH</v>
      </c>
      <c r="D1556" t="s">
        <v>1588</v>
      </c>
      <c r="E1556" t="str">
        <f t="shared" si="955"/>
        <v>PJ/yr.</v>
      </c>
      <c r="F1556" s="1" cm="1">
        <f t="array" ref="F1556">SUMPRODUCT(("TFLGV-ICEGSL"=[1]OUT_TransportEnergyCons!$A$3:$A$1000)*1,("Var_Fin"=[1]OUT_TransportEnergyCons!$B$3:$B$1000)*1,ISNUMBER(SEARCH("gsl",[1]OUT_TransportEnergyCons!$C$3:$C$1000))*1,[1]OUT_TransportEnergyCons!D$3:D$1000)</f>
        <v>0.35684663938264427</v>
      </c>
      <c r="G1556" s="1" cm="1">
        <f t="array" ref="G1556">SUMPRODUCT(("TFLGV-ICEGSL"=[1]OUT_TransportEnergyCons!$A$3:$A$1000)*1,("Var_Fin"=[1]OUT_TransportEnergyCons!$B$3:$B$1000)*1,ISNUMBER(SEARCH("gsl",[1]OUT_TransportEnergyCons!$C$3:$C$1000))*1,[1]OUT_TransportEnergyCons!E$3:E$1000)</f>
        <v>0.66254582272687379</v>
      </c>
      <c r="H1556" s="1" cm="1">
        <f t="array" ref="H1556">SUMPRODUCT(("TFLGV-ICEGSL"=[1]OUT_TransportEnergyCons!$A$3:$A$1000)*1,("Var_Fin"=[1]OUT_TransportEnergyCons!$B$3:$B$1000)*1,ISNUMBER(SEARCH("gsl",[1]OUT_TransportEnergyCons!$C$3:$C$1000))*1,[1]OUT_TransportEnergyCons!F$3:F$1000)</f>
        <v>0.89030286279902071</v>
      </c>
      <c r="I1556" s="1" cm="1">
        <f t="array" ref="I1556">SUMPRODUCT(("TFLGV-ICEGSL"=[1]OUT_TransportEnergyCons!$A$3:$A$1000)*1,("Var_Fin"=[1]OUT_TransportEnergyCons!$B$3:$B$1000)*1,ISNUMBER(SEARCH("gsl",[1]OUT_TransportEnergyCons!$C$3:$C$1000))*1,[1]OUT_TransportEnergyCons!G$3:G$1000)</f>
        <v>0.63457434082199715</v>
      </c>
      <c r="J1556" s="1" cm="1">
        <f t="array" ref="J1556">SUMPRODUCT(("TFLGV-ICEGSL"=[1]OUT_TransportEnergyCons!$A$3:$A$1000)*1,("Var_Fin"=[1]OUT_TransportEnergyCons!$B$3:$B$1000)*1,ISNUMBER(SEARCH("gsl",[1]OUT_TransportEnergyCons!$C$3:$C$1000))*1,[1]OUT_TransportEnergyCons!H$3:H$1000)</f>
        <v>4.5718292360459129E-4</v>
      </c>
      <c r="K1556" s="1" cm="1">
        <f t="array" ref="K1556">SUMPRODUCT(("TFLGV-ICEGSL"=[1]OUT_TransportEnergyCons!$A$3:$A$1000)*1,("Var_Fin"=[1]OUT_TransportEnergyCons!$B$3:$B$1000)*1,ISNUMBER(SEARCH("gsl",[1]OUT_TransportEnergyCons!$C$3:$C$1000))*1,[1]OUT_TransportEnergyCons!I$3:I$1000)</f>
        <v>0</v>
      </c>
    </row>
    <row r="1557" spans="2:11" x14ac:dyDescent="0.35">
      <c r="B1557" t="str">
        <f t="shared" si="948"/>
        <v>SPS2</v>
      </c>
      <c r="C1557" t="str">
        <f t="shared" si="953"/>
        <v>CH</v>
      </c>
      <c r="D1557" t="s">
        <v>1547</v>
      </c>
      <c r="E1557" t="str">
        <f t="shared" si="955"/>
        <v>PJ/yr.</v>
      </c>
      <c r="F1557" s="1">
        <f>SUM(F1562:F1564)</f>
        <v>15.424022217173647</v>
      </c>
      <c r="G1557" s="1">
        <f t="shared" ref="G1557:K1557" si="960">SUM(G1562:G1564)</f>
        <v>13.031754468833814</v>
      </c>
      <c r="H1557" s="1">
        <f t="shared" si="960"/>
        <v>12.363815438566933</v>
      </c>
      <c r="I1557" s="1">
        <f t="shared" si="960"/>
        <v>6.0683774123794265</v>
      </c>
      <c r="J1557" s="1">
        <f t="shared" si="960"/>
        <v>6.4263092890554628E-4</v>
      </c>
      <c r="K1557" s="1">
        <f t="shared" si="960"/>
        <v>0</v>
      </c>
    </row>
    <row r="1558" spans="2:11" x14ac:dyDescent="0.35">
      <c r="B1558" t="str">
        <f t="shared" si="948"/>
        <v>SPS2</v>
      </c>
      <c r="C1558" t="str">
        <f t="shared" si="953"/>
        <v>CH</v>
      </c>
      <c r="D1558" t="s">
        <v>1548</v>
      </c>
      <c r="E1558" t="str">
        <f t="shared" si="955"/>
        <v>PJ/yr.</v>
      </c>
      <c r="F1558" s="1">
        <f>F1557-F1559</f>
        <v>15.050955388884336</v>
      </c>
      <c r="G1558" s="1">
        <f t="shared" ref="G1558:K1558" si="961">G1557-G1559</f>
        <v>12.692113450156439</v>
      </c>
      <c r="H1558" s="1">
        <f t="shared" si="961"/>
        <v>11.809534814256811</v>
      </c>
      <c r="I1558" s="1">
        <f t="shared" si="961"/>
        <v>5.7549247069859977</v>
      </c>
      <c r="J1558" s="1">
        <f t="shared" si="961"/>
        <v>6.1299111526687418E-5</v>
      </c>
      <c r="K1558" s="1">
        <f t="shared" si="961"/>
        <v>0</v>
      </c>
    </row>
    <row r="1559" spans="2:11" x14ac:dyDescent="0.35">
      <c r="B1559" t="str">
        <f t="shared" si="948"/>
        <v>SPS2</v>
      </c>
      <c r="C1559" t="str">
        <f t="shared" si="953"/>
        <v>CH</v>
      </c>
      <c r="D1559" t="s">
        <v>1549</v>
      </c>
      <c r="E1559" t="str">
        <f t="shared" si="955"/>
        <v>PJ/yr.</v>
      </c>
      <c r="F1559" s="1">
        <f>SUM(F1560:F1561)</f>
        <v>0.37306682828931043</v>
      </c>
      <c r="G1559" s="1">
        <f t="shared" ref="G1559:K1559" si="962">SUM(G1560:G1561)</f>
        <v>0.3396410186773739</v>
      </c>
      <c r="H1559" s="1">
        <f t="shared" si="962"/>
        <v>0.55428062431012171</v>
      </c>
      <c r="I1559" s="1">
        <f t="shared" si="962"/>
        <v>0.3134527053934284</v>
      </c>
      <c r="J1559" s="1">
        <f t="shared" si="962"/>
        <v>5.8133181737885886E-4</v>
      </c>
      <c r="K1559" s="1">
        <f t="shared" si="962"/>
        <v>0</v>
      </c>
    </row>
    <row r="1560" spans="2:11" x14ac:dyDescent="0.35">
      <c r="B1560" t="str">
        <f t="shared" si="948"/>
        <v>SPS2</v>
      </c>
      <c r="C1560" t="str">
        <f t="shared" si="953"/>
        <v>CH</v>
      </c>
      <c r="D1560" t="s">
        <v>1550</v>
      </c>
      <c r="E1560" t="str">
        <f t="shared" si="955"/>
        <v>PJ/yr.</v>
      </c>
      <c r="F1560" s="1">
        <f>[1]Transport!B$26/SUM([1]Transport!B$22,[1]Transport!B$26)*F1557*(F$33+F$580)/(F$33+F$580+F$36)</f>
        <v>0.37306682828931043</v>
      </c>
      <c r="G1560" s="1">
        <f>[1]Transport!C$26/SUM([1]Transport!C$22,[1]Transport!C$26)*G1557*(G$33+G$580)/(G$33+G$580+G$36)</f>
        <v>0.3396410186773739</v>
      </c>
      <c r="H1560" s="1">
        <f>[1]Transport!D$26/SUM([1]Transport!D$22,[1]Transport!D$26)*H1557*(H$33+H$580)/(H$33+H$580+H$36)</f>
        <v>0.55428062431012171</v>
      </c>
      <c r="I1560" s="1">
        <f>[1]Transport!E$26/SUM([1]Transport!E$22,[1]Transport!E$26)*I1557*(I$33+I$580)/(I$33+I$580+I$36)</f>
        <v>0.3134527053934284</v>
      </c>
      <c r="J1560" s="1">
        <f>[1]Transport!F$26/SUM([1]Transport!F$22,[1]Transport!F$26)*J1557*(J$33+J$580)/(J$33+J$580+J$36)</f>
        <v>2.889339810343568E-5</v>
      </c>
      <c r="K1560" s="1">
        <f>[1]Transport!G$26/SUM([1]Transport!G$22,[1]Transport!G$26)*K1557*(K$33+K$580)/(K$33+K$580+K$36)</f>
        <v>0</v>
      </c>
    </row>
    <row r="1561" spans="2:11" x14ac:dyDescent="0.35">
      <c r="B1561" t="str">
        <f t="shared" si="948"/>
        <v>SPS2</v>
      </c>
      <c r="C1561" t="str">
        <f t="shared" si="953"/>
        <v>CH</v>
      </c>
      <c r="D1561" t="s">
        <v>1551</v>
      </c>
      <c r="E1561" t="str">
        <f t="shared" si="955"/>
        <v>PJ/yr.</v>
      </c>
      <c r="F1561" s="1">
        <f>(F$36+F$716)/([1]Transport!B$22+[1]Transport!B$26)*F1557</f>
        <v>0</v>
      </c>
      <c r="G1561" s="1">
        <f>(G$36+G$716)/([1]Transport!C$22+[1]Transport!C$26)*G1557</f>
        <v>0</v>
      </c>
      <c r="H1561" s="1">
        <f>(H$36+H$716)/([1]Transport!D$22+[1]Transport!D$26)*H1557</f>
        <v>0</v>
      </c>
      <c r="I1561" s="1">
        <f>(I$36+I$716)/([1]Transport!E$22+[1]Transport!E$26)*I1557</f>
        <v>0</v>
      </c>
      <c r="J1561" s="1">
        <f>(J$36+J$716)/([1]Transport!F$22+[1]Transport!F$26)*J1557</f>
        <v>5.5243841927542323E-4</v>
      </c>
      <c r="K1561" s="1">
        <f>(K$36+K$716)/([1]Transport!G$22+[1]Transport!G$26)*K1557</f>
        <v>0</v>
      </c>
    </row>
    <row r="1562" spans="2:11" x14ac:dyDescent="0.35">
      <c r="B1562" t="str">
        <f t="shared" si="948"/>
        <v>SPS2</v>
      </c>
      <c r="C1562" t="str">
        <f t="shared" si="953"/>
        <v>CH</v>
      </c>
      <c r="D1562" t="s">
        <v>1552</v>
      </c>
      <c r="E1562" t="str">
        <f t="shared" si="955"/>
        <v>PJ/yr.</v>
      </c>
      <c r="F1562" s="1" cm="1">
        <f t="array" ref="F1562">SUMPRODUCT(("TFLGV-ICEdslExt"=[1]OUT_TransportEnergyCons!$A$3:$A$1000)*1,("Var_Fin"=[1]OUT_TransportEnergyCons!$B$3:$B$1000)*1,ISNUMBER(SEARCH("dsl",[1]OUT_TransportEnergyCons!$C$3:$C$1000))*1,[1]OUT_TransportEnergyCons!D$3:D$1000)</f>
        <v>10.991243152129892</v>
      </c>
      <c r="G1562" s="1" cm="1">
        <f t="array" ref="G1562">SUMPRODUCT(("TFLGV-ICEdslExt"=[1]OUT_TransportEnergyCons!$A$3:$A$1000)*1,("Var_Fin"=[1]OUT_TransportEnergyCons!$B$3:$B$1000)*1,ISNUMBER(SEARCH("dsl",[1]OUT_TransportEnergyCons!$C$3:$C$1000))*1,[1]OUT_TransportEnergyCons!E$3:E$1000)</f>
        <v>7.4418136165624285</v>
      </c>
      <c r="H1562" s="1" cm="1">
        <f t="array" ref="H1562">SUMPRODUCT(("TFLGV-ICEdslExt"=[1]OUT_TransportEnergyCons!$A$3:$A$1000)*1,("Var_Fin"=[1]OUT_TransportEnergyCons!$B$3:$B$1000)*1,ISNUMBER(SEARCH("dsl",[1]OUT_TransportEnergyCons!$C$3:$C$1000))*1,[1]OUT_TransportEnergyCons!F$3:F$1000)</f>
        <v>5.4546871493347195</v>
      </c>
      <c r="I1562" s="1" cm="1">
        <f t="array" ref="I1562">SUMPRODUCT(("TFLGV-ICEdslExt"=[1]OUT_TransportEnergyCons!$A$3:$A$1000)*1,("Var_Fin"=[1]OUT_TransportEnergyCons!$B$3:$B$1000)*1,ISNUMBER(SEARCH("dsl",[1]OUT_TransportEnergyCons!$C$3:$C$1000))*1,[1]OUT_TransportEnergyCons!G$3:G$1000)</f>
        <v>2.7253342593863548</v>
      </c>
      <c r="J1562" s="1" cm="1">
        <f t="array" ref="J1562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2" s="1" cm="1">
        <f t="array" ref="K1562">SUMPRODUCT(("TFLGV-ICEdslExt"=[1]OUT_TransportEnergyCons!$A$3:$A$1000)*1,("Var_Fin"=[1]OUT_TransportEnergyCons!$B$3:$B$1000)*1,ISNUMBER(SEARCH("dsl",[1]OUT_TransportEnergyCons!$C$3:$C$1000))*1,[1]OUT_TransportEnergyCons!I$3:I$1000)</f>
        <v>0</v>
      </c>
    </row>
    <row r="1563" spans="2:11" x14ac:dyDescent="0.35">
      <c r="B1563" t="str">
        <f t="shared" si="948"/>
        <v>SPS2</v>
      </c>
      <c r="C1563" t="str">
        <f t="shared" si="953"/>
        <v>CH</v>
      </c>
      <c r="D1563" t="s">
        <v>1553</v>
      </c>
      <c r="E1563" t="str">
        <f t="shared" si="955"/>
        <v>PJ/yr.</v>
      </c>
      <c r="F1563" s="1" cm="1">
        <f t="array" ref="F1563">SUMPRODUCT(("TFLGV-ICEdsl"=[1]OUT_TransportEnergyCons!$A$3:$A$1000)*1,("Var_Fin"=[1]OUT_TransportEnergyCons!$B$3:$B$1000)*1,ISNUMBER(SEARCH("dsl",[1]OUT_TransportEnergyCons!$C$3:$C$1000))*1,[1]OUT_TransportEnergyCons!D$3:D$1000)</f>
        <v>4.4327790650437553</v>
      </c>
      <c r="G1563" s="1" cm="1">
        <f t="array" ref="G1563">SUMPRODUCT(("TFLGV-ICEdsl"=[1]OUT_TransportEnergyCons!$A$3:$A$1000)*1,("Var_Fin"=[1]OUT_TransportEnergyCons!$B$3:$B$1000)*1,ISNUMBER(SEARCH("dsl",[1]OUT_TransportEnergyCons!$C$3:$C$1000))*1,[1]OUT_TransportEnergyCons!E$3:E$1000)</f>
        <v>5.2486457125246471</v>
      </c>
      <c r="H1563" s="1" cm="1">
        <f t="array" ref="H1563">SUMPRODUCT(("TFLGV-ICEdsl"=[1]OUT_TransportEnergyCons!$A$3:$A$1000)*1,("Var_Fin"=[1]OUT_TransportEnergyCons!$B$3:$B$1000)*1,ISNUMBER(SEARCH("dsl",[1]OUT_TransportEnergyCons!$C$3:$C$1000))*1,[1]OUT_TransportEnergyCons!F$3:F$1000)</f>
        <v>5.0855451414654125</v>
      </c>
      <c r="I1563" s="1" cm="1">
        <f t="array" ref="I1563">SUMPRODUCT(("TFLGV-ICEdsl"=[1]OUT_TransportEnergyCons!$A$3:$A$1000)*1,("Var_Fin"=[1]OUT_TransportEnergyCons!$B$3:$B$1000)*1,ISNUMBER(SEARCH("dsl",[1]OUT_TransportEnergyCons!$C$3:$C$1000))*1,[1]OUT_TransportEnergyCons!G$3:G$1000)</f>
        <v>2.0944268561918058</v>
      </c>
      <c r="J1563" s="1" cm="1">
        <f t="array" ref="J1563">SUMPRODUCT(("TFLGV-ICEdsl"=[1]OUT_TransportEnergyCons!$A$3:$A$1000)*1,("Var_Fin"=[1]OUT_TransportEnergyCons!$B$3:$B$1000)*1,ISNUMBER(SEARCH("dsl",[1]OUT_TransportEnergyCons!$C$3:$C$1000))*1,[1]OUT_TransportEnergyCons!H$3:H$1000)</f>
        <v>2.9951762070966451E-4</v>
      </c>
      <c r="K1563" s="1" cm="1">
        <f t="array" ref="K1563">SUMPRODUCT(("TFLGV-ICEdsl"=[1]OUT_TransportEnergyCons!$A$3:$A$1000)*1,("Var_Fin"=[1]OUT_TransportEnergyCons!$B$3:$B$1000)*1,ISNUMBER(SEARCH("dsl",[1]OUT_TransportEnergyCons!$C$3:$C$1000))*1,[1]OUT_TransportEnergyCons!I$3:I$1000)</f>
        <v>0</v>
      </c>
    </row>
    <row r="1564" spans="2:11" x14ac:dyDescent="0.35">
      <c r="B1564" t="str">
        <f t="shared" si="948"/>
        <v>SPS2</v>
      </c>
      <c r="C1564" t="str">
        <f t="shared" si="953"/>
        <v>CH</v>
      </c>
      <c r="D1564" t="s">
        <v>1554</v>
      </c>
      <c r="E1564" t="str">
        <f t="shared" si="955"/>
        <v>PJ/yr.</v>
      </c>
      <c r="F1564" s="1" cm="1">
        <f t="array" ref="F1564">SUMPRODUCT(("TFLGV-HYBDSL"=[1]OUT_TransportEnergyCons!$A$3:$A$1000)*1,("Var_Fin"=[1]OUT_TransportEnergyCons!$B$3:$B$1000)*1,ISNUMBER(SEARCH("dsl",[1]OUT_TransportEnergyCons!$C$3:$C$1000))*1,[1]OUT_TransportEnergyCons!D$3:D$1000)</f>
        <v>0</v>
      </c>
      <c r="G1564" s="1" cm="1">
        <f t="array" ref="G1564">SUMPRODUCT(("TFLGV-HYBDSL"=[1]OUT_TransportEnergyCons!$A$3:$A$1000)*1,("Var_Fin"=[1]OUT_TransportEnergyCons!$B$3:$B$1000)*1,ISNUMBER(SEARCH("dsl",[1]OUT_TransportEnergyCons!$C$3:$C$1000))*1,[1]OUT_TransportEnergyCons!E$3:E$1000)</f>
        <v>0.34129513974673659</v>
      </c>
      <c r="H1564" s="1" cm="1">
        <f t="array" ref="H1564">SUMPRODUCT(("TFLGV-HYBDSL"=[1]OUT_TransportEnergyCons!$A$3:$A$1000)*1,("Var_Fin"=[1]OUT_TransportEnergyCons!$B$3:$B$1000)*1,ISNUMBER(SEARCH("dsl",[1]OUT_TransportEnergyCons!$C$3:$C$1000))*1,[1]OUT_TransportEnergyCons!F$3:F$1000)</f>
        <v>1.8235831477668014</v>
      </c>
      <c r="I1564" s="1" cm="1">
        <f t="array" ref="I1564">SUMPRODUCT(("TFLGV-HYBDSL"=[1]OUT_TransportEnergyCons!$A$3:$A$1000)*1,("Var_Fin"=[1]OUT_TransportEnergyCons!$B$3:$B$1000)*1,ISNUMBER(SEARCH("dsl",[1]OUT_TransportEnergyCons!$C$3:$C$1000))*1,[1]OUT_TransportEnergyCons!G$3:G$1000)</f>
        <v>1.2486162968012662</v>
      </c>
      <c r="J1564" s="1" cm="1">
        <f t="array" ref="J1564">SUMPRODUCT(("TFLGV-HYBDSL"=[1]OUT_TransportEnergyCons!$A$3:$A$1000)*1,("Var_Fin"=[1]OUT_TransportEnergyCons!$B$3:$B$1000)*1,ISNUMBER(SEARCH("dsl",[1]OUT_TransportEnergyCons!$C$3:$C$1000))*1,[1]OUT_TransportEnergyCons!H$3:H$1000)</f>
        <v>3.4311330819588177E-4</v>
      </c>
      <c r="K1564" s="1" cm="1">
        <f t="array" ref="K1564">SUMPRODUCT(("TFLGV-HYBDSL"=[1]OUT_TransportEnergyCons!$A$3:$A$1000)*1,("Var_Fin"=[1]OUT_TransportEnergyCons!$B$3:$B$1000)*1,ISNUMBER(SEARCH("dsl",[1]OUT_TransportEnergyCons!$C$3:$C$1000))*1,[1]OUT_TransportEnergyCons!I$3:I$1000)</f>
        <v>0</v>
      </c>
    </row>
    <row r="1565" spans="2:11" x14ac:dyDescent="0.35">
      <c r="B1565" t="str">
        <f t="shared" si="948"/>
        <v>SPS2</v>
      </c>
      <c r="C1565" t="str">
        <f t="shared" si="953"/>
        <v>CH</v>
      </c>
      <c r="D1565" t="s">
        <v>1555</v>
      </c>
      <c r="E1565" t="str">
        <f t="shared" si="955"/>
        <v>PJ/yr.</v>
      </c>
      <c r="F1565" s="1">
        <f>F1570</f>
        <v>2.455961608629002E-2</v>
      </c>
      <c r="G1565" s="1">
        <f t="shared" ref="G1565:K1565" si="963">G1570</f>
        <v>2.3986737206325912E-2</v>
      </c>
      <c r="H1565" s="1">
        <f t="shared" si="963"/>
        <v>3.1223916672511776E-2</v>
      </c>
      <c r="I1565" s="1">
        <f t="shared" si="963"/>
        <v>7.6428112825031121E-4</v>
      </c>
      <c r="J1565" s="1">
        <f t="shared" si="963"/>
        <v>4.6858550172138964E-5</v>
      </c>
      <c r="K1565" s="1">
        <f t="shared" si="963"/>
        <v>0</v>
      </c>
    </row>
    <row r="1566" spans="2:11" x14ac:dyDescent="0.35">
      <c r="B1566" t="str">
        <f t="shared" si="948"/>
        <v>SPS2</v>
      </c>
      <c r="C1566" t="str">
        <f t="shared" si="953"/>
        <v>CH</v>
      </c>
      <c r="D1566" t="s">
        <v>1556</v>
      </c>
      <c r="E1566" t="str">
        <f t="shared" si="955"/>
        <v>PJ/yr.</v>
      </c>
      <c r="F1566" s="1">
        <f>F1565-F1567</f>
        <v>2.2687704119676144E-2</v>
      </c>
      <c r="G1566" s="1">
        <f t="shared" ref="G1566:K1566" si="964">G1565-G1567</f>
        <v>2.16770112093553E-2</v>
      </c>
      <c r="H1566" s="1">
        <f t="shared" si="964"/>
        <v>2.8281481997718919E-2</v>
      </c>
      <c r="I1566" s="1">
        <f t="shared" si="964"/>
        <v>6.3750973161832503E-4</v>
      </c>
      <c r="J1566" s="1">
        <f t="shared" si="964"/>
        <v>-5.4963631924029997E-2</v>
      </c>
      <c r="K1566" s="1">
        <f t="shared" si="964"/>
        <v>0</v>
      </c>
    </row>
    <row r="1567" spans="2:11" x14ac:dyDescent="0.35">
      <c r="B1567" t="str">
        <f t="shared" si="948"/>
        <v>SPS2</v>
      </c>
      <c r="C1567" t="str">
        <f t="shared" si="953"/>
        <v>CH</v>
      </c>
      <c r="D1567" t="s">
        <v>1557</v>
      </c>
      <c r="E1567" t="str">
        <f t="shared" si="955"/>
        <v>PJ/yr.</v>
      </c>
      <c r="F1567" s="1">
        <f>SUM(F1568:F1569)</f>
        <v>1.8719119666138762E-3</v>
      </c>
      <c r="G1567" s="1">
        <f t="shared" ref="G1567:K1567" si="965">SUM(G1568:G1569)</f>
        <v>2.3097259969706106E-3</v>
      </c>
      <c r="H1567" s="1">
        <f t="shared" si="965"/>
        <v>2.9424346747928586E-3</v>
      </c>
      <c r="I1567" s="1">
        <f t="shared" si="965"/>
        <v>1.2677139663198615E-4</v>
      </c>
      <c r="J1567" s="1">
        <f t="shared" si="965"/>
        <v>5.5010490474202138E-2</v>
      </c>
      <c r="K1567" s="1">
        <f t="shared" si="965"/>
        <v>0</v>
      </c>
    </row>
    <row r="1568" spans="2:11" x14ac:dyDescent="0.35">
      <c r="B1568" t="str">
        <f t="shared" si="948"/>
        <v>SPS2</v>
      </c>
      <c r="C1568" t="str">
        <f t="shared" si="953"/>
        <v>CH</v>
      </c>
      <c r="D1568" t="s">
        <v>1558</v>
      </c>
      <c r="E1568" t="str">
        <f t="shared" si="955"/>
        <v>PJ/yr.</v>
      </c>
      <c r="F1568" s="1">
        <f>[1]Transport!B$27/SUM([1]Transport!B$24,[1]Transport!B$27)*F1565*(F$45+F$612)/(F$45+F$612+F$47)</f>
        <v>1.8719119666138762E-3</v>
      </c>
      <c r="G1568" s="1">
        <f>[1]Transport!C$27/SUM([1]Transport!C$24,[1]Transport!C$27)*G1565*(G$45+G$612)/(G$45+G$612+G$47)</f>
        <v>2.3097259969706106E-3</v>
      </c>
      <c r="H1568" s="1">
        <f>[1]Transport!D$27/SUM([1]Transport!D$24,[1]Transport!D$27)*H1565*(H$45+H$612)/(H$45+H$612+H$47)</f>
        <v>2.9424346747928586E-3</v>
      </c>
      <c r="I1568" s="1">
        <f>[1]Transport!E$27/SUM([1]Transport!E$24,[1]Transport!E$27)*I1565*(I$45+I$612)/(I$45+I$612+I$47)</f>
        <v>1.2677139663198615E-4</v>
      </c>
      <c r="J1568" s="1">
        <f>[1]Transport!F$27/SUM([1]Transport!F$24,[1]Transport!F$27)*J1565*(J$45+J$612)/(J$45+J$612+J$47)</f>
        <v>1.2975171384255104E-5</v>
      </c>
      <c r="K1568" s="1">
        <f>[1]Transport!G$27/SUM([1]Transport!G$24,[1]Transport!G$27)*K1565*(K$45+K$612)/(K$45+K$612+K$47)</f>
        <v>0</v>
      </c>
    </row>
    <row r="1569" spans="2:11" x14ac:dyDescent="0.35">
      <c r="B1569" t="str">
        <f t="shared" si="948"/>
        <v>SPS2</v>
      </c>
      <c r="C1569" t="str">
        <f t="shared" si="953"/>
        <v>CH</v>
      </c>
      <c r="D1569" t="s">
        <v>1559</v>
      </c>
      <c r="E1569" t="str">
        <f t="shared" si="955"/>
        <v>PJ/yr.</v>
      </c>
      <c r="F1569" s="1">
        <f>(F$47+F$714)/([1]Transport!B$24+[1]Transport!B$27)*F1565</f>
        <v>0</v>
      </c>
      <c r="G1569" s="1">
        <f>(G$47+G$714)/([1]Transport!C$24+[1]Transport!C$27)*G1565</f>
        <v>0</v>
      </c>
      <c r="H1569" s="1">
        <f>(H$47+H$714)/([1]Transport!D$24+[1]Transport!D$27)*H1565</f>
        <v>0</v>
      </c>
      <c r="I1569" s="1">
        <f>(I$47+I$714)/([1]Transport!E$24+[1]Transport!E$27)*I1565</f>
        <v>0</v>
      </c>
      <c r="J1569" s="1">
        <f>(J$47+J$714)/([1]Transport!F$24+[1]Transport!F$27)*J1565</f>
        <v>5.4997515302817886E-2</v>
      </c>
      <c r="K1569" s="1">
        <f>(K$47+K$714)/([1]Transport!G$24+[1]Transport!G$27)*K1565</f>
        <v>0</v>
      </c>
    </row>
    <row r="1570" spans="2:11" x14ac:dyDescent="0.35">
      <c r="B1570" t="str">
        <f t="shared" si="948"/>
        <v>SPS2</v>
      </c>
      <c r="C1570" t="str">
        <f t="shared" si="953"/>
        <v>CH</v>
      </c>
      <c r="D1570" t="s">
        <v>1560</v>
      </c>
      <c r="E1570" t="str">
        <f t="shared" si="955"/>
        <v>PJ/yr.</v>
      </c>
      <c r="F1570" s="1" cm="1">
        <f t="array" ref="F1570">SUMPRODUCT(("TFLGV-ICENGA"=[1]OUT_TransportEnergyCons!$A$3:$A$1000)*1,("Var_Fin"=[1]OUT_TransportEnergyCons!$B$3:$B$1000)*1,ISNUMBER(SEARCH("nga",[1]OUT_TransportEnergyCons!$C$3:$C$1000))*1,[1]OUT_TransportEnergyCons!D$3:D$1000)</f>
        <v>2.455961608629002E-2</v>
      </c>
      <c r="G1570" s="1" cm="1">
        <f t="array" ref="G1570">SUMPRODUCT(("TFLGV-ICENGA"=[1]OUT_TransportEnergyCons!$A$3:$A$1000)*1,("Var_Fin"=[1]OUT_TransportEnergyCons!$B$3:$B$1000)*1,ISNUMBER(SEARCH("nga",[1]OUT_TransportEnergyCons!$C$3:$C$1000))*1,[1]OUT_TransportEnergyCons!E$3:E$1000)</f>
        <v>2.3986737206325912E-2</v>
      </c>
      <c r="H1570" s="1" cm="1">
        <f t="array" ref="H1570">SUMPRODUCT(("TFLGV-ICENGA"=[1]OUT_TransportEnergyCons!$A$3:$A$1000)*1,("Var_Fin"=[1]OUT_TransportEnergyCons!$B$3:$B$1000)*1,ISNUMBER(SEARCH("nga",[1]OUT_TransportEnergyCons!$C$3:$C$1000))*1,[1]OUT_TransportEnergyCons!F$3:F$1000)</f>
        <v>3.1223916672511776E-2</v>
      </c>
      <c r="I1570" s="1" cm="1">
        <f t="array" ref="I1570">SUMPRODUCT(("TFLGV-ICENGA"=[1]OUT_TransportEnergyCons!$A$3:$A$1000)*1,("Var_Fin"=[1]OUT_TransportEnergyCons!$B$3:$B$1000)*1,ISNUMBER(SEARCH("nga",[1]OUT_TransportEnergyCons!$C$3:$C$1000))*1,[1]OUT_TransportEnergyCons!G$3:G$1000)</f>
        <v>7.6428112825031121E-4</v>
      </c>
      <c r="J1570" s="1" cm="1">
        <f t="array" ref="J1570">SUMPRODUCT(("TFLGV-ICENGA"=[1]OUT_TransportEnergyCons!$A$3:$A$1000)*1,("Var_Fin"=[1]OUT_TransportEnergyCons!$B$3:$B$1000)*1,ISNUMBER(SEARCH("nga",[1]OUT_TransportEnergyCons!$C$3:$C$1000))*1,[1]OUT_TransportEnergyCons!H$3:H$1000)</f>
        <v>4.6858550172138964E-5</v>
      </c>
      <c r="K1570" s="1" cm="1">
        <f t="array" ref="K1570">SUMPRODUCT(("TFLGV-ICENGA"=[1]OUT_TransportEnergyCons!$A$3:$A$1000)*1,("Var_Fin"=[1]OUT_TransportEnergyCons!$B$3:$B$1000)*1,ISNUMBER(SEARCH("nga",[1]OUT_TransportEnergyCons!$C$3:$C$1000))*1,[1]OUT_TransportEnergyCons!I$3:I$1000)</f>
        <v>0</v>
      </c>
    </row>
    <row r="1571" spans="2:11" x14ac:dyDescent="0.35">
      <c r="B1571" s="2" t="str">
        <f t="shared" si="948"/>
        <v>SPS2</v>
      </c>
      <c r="C1571" s="2" t="str">
        <f t="shared" si="953"/>
        <v>CH</v>
      </c>
      <c r="D1571" s="2" t="s">
        <v>1561</v>
      </c>
      <c r="E1571" s="2" t="s">
        <v>1518</v>
      </c>
      <c r="F1571" s="3">
        <f>SUM(F1572:F1580)</f>
        <v>4.7791211281699582</v>
      </c>
      <c r="G1571" s="3">
        <f t="shared" ref="G1571:K1571" si="966">SUM(G1572:G1580)</f>
        <v>4.7700765817833943</v>
      </c>
      <c r="H1571" s="3">
        <f t="shared" si="966"/>
        <v>4.7045162868292714</v>
      </c>
      <c r="I1571" s="3">
        <f t="shared" si="966"/>
        <v>4.6399416742822694</v>
      </c>
      <c r="J1571" s="3">
        <f t="shared" si="966"/>
        <v>4.9987865291792772</v>
      </c>
      <c r="K1571" s="3">
        <f t="shared" si="966"/>
        <v>5.4144497605556898</v>
      </c>
    </row>
    <row r="1572" spans="2:11" x14ac:dyDescent="0.35">
      <c r="B1572" t="str">
        <f t="shared" si="948"/>
        <v>SPS2</v>
      </c>
      <c r="C1572" t="str">
        <f t="shared" si="953"/>
        <v>CH</v>
      </c>
      <c r="D1572" t="s">
        <v>1562</v>
      </c>
      <c r="E1572" t="s">
        <v>1518</v>
      </c>
      <c r="F1572" s="1" cm="1">
        <f t="array" ref="F1572">SUMPRODUCT(("TFLGV-BeVELCExt"=[1]OUT_TransportEnergyCons!$A$3:$A$1000)*1,("var_fout"=[1]OUT_TransportEnergyCons!$B$3:$B$1000)*1,ISNUMBER(SEARCH("TFLGV",[1]OUT_TransportEnergyCons!$C$3:$C$1000))*1,[1]OUT_TransportEnergyCons!D$3:D$1000)</f>
        <v>2.7731215967438289E-2</v>
      </c>
      <c r="G1572" s="1" cm="1">
        <f t="array" ref="G1572">SUMPRODUCT(("TFLGV-BeVELCExt"=[1]OUT_TransportEnergyCons!$A$3:$A$1000)*1,("var_fout"=[1]OUT_TransportEnergyCons!$B$3:$B$1000)*1,ISNUMBER(SEARCH("TFLGV",[1]OUT_TransportEnergyCons!$C$3:$C$1000))*1,[1]OUT_TransportEnergyCons!E$3:E$1000)</f>
        <v>2.4195933091459183E-2</v>
      </c>
      <c r="H1572" s="1" cm="1">
        <f t="array" ref="H1572">SUMPRODUCT(("TFLGV-BeVELCExt"=[1]OUT_TransportEnergyCons!$A$3:$A$1000)*1,("var_fout"=[1]OUT_TransportEnergyCons!$B$3:$B$1000)*1,ISNUMBER(SEARCH("TFLGV",[1]OUT_TransportEnergyCons!$C$3:$C$1000))*1,[1]OUT_TransportEnergyCons!F$3:F$1000)</f>
        <v>1.8509977533392806E-2</v>
      </c>
      <c r="I1572" s="1" cm="1">
        <f t="array" ref="I1572">SUMPRODUCT(("TFLGV-BeVELCExt"=[1]OUT_TransportEnergyCons!$A$3:$A$1000)*1,("var_fout"=[1]OUT_TransportEnergyCons!$B$3:$B$1000)*1,ISNUMBER(SEARCH("TFLGV",[1]OUT_TransportEnergyCons!$C$3:$C$1000))*1,[1]OUT_TransportEnergyCons!G$3:G$1000)</f>
        <v>9.1341193640558285E-3</v>
      </c>
      <c r="J1572" s="1" cm="1">
        <f t="array" ref="J1572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2" s="1" cm="1">
        <f t="array" ref="K1572">SUMPRODUCT(("TFLGV-BeVELCExt"=[1]OUT_TransportEnergyCons!$A$3:$A$1000)*1,("var_fout"=[1]OUT_TransportEnergyCons!$B$3:$B$1000)*1,ISNUMBER(SEARCH("TFLGV",[1]OUT_TransportEnergyCons!$C$3:$C$1000))*1,[1]OUT_TransportEnergyCons!I$3:I$1000)</f>
        <v>0</v>
      </c>
    </row>
    <row r="1573" spans="2:11" x14ac:dyDescent="0.35">
      <c r="B1573" t="str">
        <f t="shared" si="948"/>
        <v>SPS2</v>
      </c>
      <c r="C1573" t="str">
        <f t="shared" si="953"/>
        <v>CH</v>
      </c>
      <c r="D1573" t="s">
        <v>1563</v>
      </c>
      <c r="E1573" t="s">
        <v>1518</v>
      </c>
      <c r="F1573" s="1" cm="1">
        <f t="array" ref="F1573">SUMPRODUCT(("TFLGV-BEVELC"=[1]OUT_TransportEnergyCons!$A$3:$A$1000)*1,("var_fout"=[1]OUT_TransportEnergyCons!$B$3:$B$1000)*1,ISNUMBER(SEARCH("TFLGV",[1]OUT_TransportEnergyCons!$C$3:$C$1000))*1,[1]OUT_TransportEnergyCons!D$3:D$1000)</f>
        <v>2.3681882180833703E-2</v>
      </c>
      <c r="G1573" s="1" cm="1">
        <f t="array" ref="G1573">SUMPRODUCT(("TFLGV-BEVELC"=[1]OUT_TransportEnergyCons!$A$3:$A$1000)*1,("var_fout"=[1]OUT_TransportEnergyCons!$B$3:$B$1000)*1,ISNUMBER(SEARCH("TFLGV",[1]OUT_TransportEnergyCons!$C$3:$C$1000))*1,[1]OUT_TransportEnergyCons!E$3:E$1000)</f>
        <v>6.3436149514736667E-2</v>
      </c>
      <c r="H1573" s="1" cm="1">
        <f t="array" ref="H1573">SUMPRODUCT(("TFLGV-BEVELC"=[1]OUT_TransportEnergyCons!$A$3:$A$1000)*1,("var_fout"=[1]OUT_TransportEnergyCons!$B$3:$B$1000)*1,ISNUMBER(SEARCH("TFLGV",[1]OUT_TransportEnergyCons!$C$3:$C$1000))*1,[1]OUT_TransportEnergyCons!F$3:F$1000)</f>
        <v>9.3867335012136968E-2</v>
      </c>
      <c r="I1573" s="1" cm="1">
        <f t="array" ref="I1573">SUMPRODUCT(("TFLGV-BEVELC"=[1]OUT_TransportEnergyCons!$A$3:$A$1000)*1,("var_fout"=[1]OUT_TransportEnergyCons!$B$3:$B$1000)*1,ISNUMBER(SEARCH("TFLGV",[1]OUT_TransportEnergyCons!$C$3:$C$1000))*1,[1]OUT_TransportEnergyCons!G$3:G$1000)</f>
        <v>2.2722389937898457</v>
      </c>
      <c r="J1573" s="1" cm="1">
        <f t="array" ref="J1573">SUMPRODUCT(("TFLGV-BEVELC"=[1]OUT_TransportEnergyCons!$A$3:$A$1000)*1,("var_fout"=[1]OUT_TransportEnergyCons!$B$3:$B$1000)*1,ISNUMBER(SEARCH("TFLGV",[1]OUT_TransportEnergyCons!$C$3:$C$1000))*1,[1]OUT_TransportEnergyCons!H$3:H$1000)</f>
        <v>4.9983213807064262</v>
      </c>
      <c r="K1573" s="1" cm="1">
        <f t="array" ref="K1573">SUMPRODUCT(("TFLGV-BEVELC"=[1]OUT_TransportEnergyCons!$A$3:$A$1000)*1,("var_fout"=[1]OUT_TransportEnergyCons!$B$3:$B$1000)*1,ISNUMBER(SEARCH("TFLGV",[1]OUT_TransportEnergyCons!$C$3:$C$1000))*1,[1]OUT_TransportEnergyCons!I$3:I$1000)</f>
        <v>5.4144219189768563</v>
      </c>
    </row>
    <row r="1574" spans="2:11" x14ac:dyDescent="0.35">
      <c r="B1574" t="str">
        <f t="shared" si="948"/>
        <v>SPS2</v>
      </c>
      <c r="C1574" t="str">
        <f t="shared" si="953"/>
        <v>CH</v>
      </c>
      <c r="D1574" t="s">
        <v>1564</v>
      </c>
      <c r="E1574" t="s">
        <v>1518</v>
      </c>
      <c r="F1574" s="1" cm="1">
        <f t="array" ref="F1574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4" s="1" cm="1">
        <f t="array" ref="G1574">SUMPRODUCT(("TFLGV-FCLH2O"=[1]OUT_TransportEnergyCons!$A$3:$A$1000)*1,("var_fout"=[1]OUT_TransportEnergyCons!$B$3:$B$1000)*1,ISNUMBER(SEARCH("TFLGV",[1]OUT_TransportEnergyCons!$C$3:$C$1000))*1,[1]OUT_TransportEnergyCons!E$3:E$1000)</f>
        <v>6.6708903301695554E-5</v>
      </c>
      <c r="H1574" s="1" cm="1">
        <f t="array" ref="H1574">SUMPRODUCT(("TFLGV-FCLH2O"=[1]OUT_TransportEnergyCons!$A$3:$A$1000)*1,("var_fout"=[1]OUT_TransportEnergyCons!$B$3:$B$1000)*1,ISNUMBER(SEARCH("TFLGV",[1]OUT_TransportEnergyCons!$C$3:$C$1000))*1,[1]OUT_TransportEnergyCons!F$3:F$1000)</f>
        <v>9.9936609231745022E-5</v>
      </c>
      <c r="I1574" s="1" cm="1">
        <f t="array" ref="I1574">SUMPRODUCT(("TFLGV-FCLH2O"=[1]OUT_TransportEnergyCons!$A$3:$A$1000)*1,("var_fout"=[1]OUT_TransportEnergyCons!$B$3:$B$1000)*1,ISNUMBER(SEARCH("TFLGV",[1]OUT_TransportEnergyCons!$C$3:$C$1000))*1,[1]OUT_TransportEnergyCons!G$3:G$1000)</f>
        <v>3.2796523727620885E-5</v>
      </c>
      <c r="J1574" s="1" cm="1">
        <f t="array" ref="J1574">SUMPRODUCT(("TFLGV-FCLH2O"=[1]OUT_TransportEnergyCons!$A$3:$A$1000)*1,("var_fout"=[1]OUT_TransportEnergyCons!$B$3:$B$1000)*1,ISNUMBER(SEARCH("TFLGV",[1]OUT_TransportEnergyCons!$C$3:$C$1000))*1,[1]OUT_TransportEnergyCons!H$3:H$1000)</f>
        <v>2.8985703774659719E-5</v>
      </c>
      <c r="K1574" s="1" cm="1">
        <f t="array" ref="K1574">SUMPRODUCT(("TFLGV-FCLH2O"=[1]OUT_TransportEnergyCons!$A$3:$A$1000)*1,("var_fout"=[1]OUT_TransportEnergyCons!$B$3:$B$1000)*1,ISNUMBER(SEARCH("TFLGV",[1]OUT_TransportEnergyCons!$C$3:$C$1000))*1,[1]OUT_TransportEnergyCons!I$3:I$1000)</f>
        <v>2.784157883381137E-5</v>
      </c>
    </row>
    <row r="1575" spans="2:11" x14ac:dyDescent="0.35">
      <c r="B1575" t="str">
        <f t="shared" si="948"/>
        <v>SPS2</v>
      </c>
      <c r="C1575" t="str">
        <f t="shared" si="953"/>
        <v>CH</v>
      </c>
      <c r="D1575" t="s">
        <v>1590</v>
      </c>
      <c r="E1575" t="s">
        <v>1518</v>
      </c>
      <c r="F1575" s="1" cm="1">
        <f t="array" ref="F1575">SUMPRODUCT(("TFLGV-ICEGSLExt"=[1]OUT_TransportEnergyCons!$A$3:$A$1000)*1,("var_fout"=[1]OUT_TransportEnergyCons!$B$3:$B$1000)*1,ISNUMBER(SEARCH("TFLGV",[1]OUT_TransportEnergyCons!$C$3:$C$1000))*1,[1]OUT_TransportEnergyCons!D$3:D$1000)</f>
        <v>0.23084696958556317</v>
      </c>
      <c r="G1575" s="1" cm="1">
        <f t="array" ref="G1575">SUMPRODUCT(("TFLGV-ICEGSLExt"=[1]OUT_TransportEnergyCons!$A$3:$A$1000)*1,("var_fout"=[1]OUT_TransportEnergyCons!$B$3:$B$1000)*1,ISNUMBER(SEARCH("TFLGV",[1]OUT_TransportEnergyCons!$C$3:$C$1000))*1,[1]OUT_TransportEnergyCons!E$3:E$1000)</f>
        <v>0.49514621049663482</v>
      </c>
      <c r="H1575" s="1" cm="1">
        <f t="array" ref="H1575">SUMPRODUCT(("TFLGV-ICEGSLExt"=[1]OUT_TransportEnergyCons!$A$3:$A$1000)*1,("var_fout"=[1]OUT_TransportEnergyCons!$B$3:$B$1000)*1,ISNUMBER(SEARCH("TFLGV",[1]OUT_TransportEnergyCons!$C$3:$C$1000))*1,[1]OUT_TransportEnergyCons!F$3:F$1000)</f>
        <v>0.15489995154900013</v>
      </c>
      <c r="I1575" s="1" cm="1">
        <f t="array" ref="I1575">SUMPRODUCT(("TFLGV-ICEGSLExt"=[1]OUT_TransportEnergyCons!$A$3:$A$1000)*1,("var_fout"=[1]OUT_TransportEnergyCons!$B$3:$B$1000)*1,ISNUMBER(SEARCH("TFLGV",[1]OUT_TransportEnergyCons!$C$3:$C$1000))*1,[1]OUT_TransportEnergyCons!G$3:G$1000)</f>
        <v>7.694796621580445E-2</v>
      </c>
      <c r="J1575" s="1" cm="1">
        <f t="array" ref="J1575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5" s="1" cm="1">
        <f t="array" ref="K1575">SUMPRODUCT(("TFLGV-ICEGSLExt"=[1]OUT_TransportEnergyCons!$A$3:$A$1000)*1,("var_fout"=[1]OUT_TransportEnergyCons!$B$3:$B$1000)*1,ISNUMBER(SEARCH("TFLGV",[1]OUT_TransportEnergyCons!$C$3:$C$1000))*1,[1]OUT_TransportEnergyCons!I$3:I$1000)</f>
        <v>0</v>
      </c>
    </row>
    <row r="1576" spans="2:11" x14ac:dyDescent="0.35">
      <c r="B1576" t="str">
        <f t="shared" si="948"/>
        <v>SPS2</v>
      </c>
      <c r="C1576" t="str">
        <f t="shared" si="953"/>
        <v>CH</v>
      </c>
      <c r="D1576" t="s">
        <v>1591</v>
      </c>
      <c r="E1576" t="s">
        <v>1518</v>
      </c>
      <c r="F1576" s="1" cm="1">
        <f t="array" ref="F1576">SUMPRODUCT(("TFLGV-ICEGSL"=[1]OUT_TransportEnergyCons!$A$3:$A$1000)*1,("var_fout"=[1]OUT_TransportEnergyCons!$B$3:$B$1000)*1,ISNUMBER(SEARCH("TFLGV",[1]OUT_TransportEnergyCons!$C$3:$C$1000))*1,[1]OUT_TransportEnergyCons!D$3:D$1000)</f>
        <v>0.12533510674961698</v>
      </c>
      <c r="G1576" s="1" cm="1">
        <f t="array" ref="G1576">SUMPRODUCT(("TFLGV-ICEGSL"=[1]OUT_TransportEnergyCons!$A$3:$A$1000)*1,("var_fout"=[1]OUT_TransportEnergyCons!$B$3:$B$1000)*1,ISNUMBER(SEARCH("TFLGV",[1]OUT_TransportEnergyCons!$C$3:$C$1000))*1,[1]OUT_TransportEnergyCons!E$3:E$1000)</f>
        <v>0.23270571235208387</v>
      </c>
      <c r="H1576" s="1" cm="1">
        <f t="array" ref="H1576">SUMPRODUCT(("TFLGV-ICEGSL"=[1]OUT_TransportEnergyCons!$A$3:$A$1000)*1,("var_fout"=[1]OUT_TransportEnergyCons!$B$3:$B$1000)*1,ISNUMBER(SEARCH("TFLGV",[1]OUT_TransportEnergyCons!$C$3:$C$1000))*1,[1]OUT_TransportEnergyCons!F$3:F$1000)</f>
        <v>0.31270072920247344</v>
      </c>
      <c r="I1576" s="1" cm="1">
        <f t="array" ref="I1576">SUMPRODUCT(("TFLGV-ICEGSL"=[1]OUT_TransportEnergyCons!$A$3:$A$1000)*1,("var_fout"=[1]OUT_TransportEnergyCons!$B$3:$B$1000)*1,ISNUMBER(SEARCH("TFLGV",[1]OUT_TransportEnergyCons!$C$3:$C$1000))*1,[1]OUT_TransportEnergyCons!G$3:G$1000)</f>
        <v>0.22288129961119951</v>
      </c>
      <c r="J1576" s="1" cm="1">
        <f t="array" ref="J1576">SUMPRODUCT(("TFLGV-ICEGSL"=[1]OUT_TransportEnergyCons!$A$3:$A$1000)*1,("var_fout"=[1]OUT_TransportEnergyCons!$B$3:$B$1000)*1,ISNUMBER(SEARCH("TFLGV",[1]OUT_TransportEnergyCons!$C$3:$C$1000))*1,[1]OUT_TransportEnergyCons!H$3:H$1000)</f>
        <v>1.6057618094208781E-4</v>
      </c>
      <c r="K1576" s="1" cm="1">
        <f t="array" ref="K1576">SUMPRODUCT(("TFLGV-ICEGSL"=[1]OUT_TransportEnergyCons!$A$3:$A$1000)*1,("var_fout"=[1]OUT_TransportEnergyCons!$B$3:$B$1000)*1,ISNUMBER(SEARCH("TFLGV",[1]OUT_TransportEnergyCons!$C$3:$C$1000))*1,[1]OUT_TransportEnergyCons!I$3:I$1000)</f>
        <v>0</v>
      </c>
    </row>
    <row r="1577" spans="2:11" x14ac:dyDescent="0.35">
      <c r="B1577" t="str">
        <f t="shared" si="948"/>
        <v>SPS2</v>
      </c>
      <c r="C1577" t="str">
        <f t="shared" si="953"/>
        <v>CH</v>
      </c>
      <c r="D1577" t="s">
        <v>1565</v>
      </c>
      <c r="E1577" t="s">
        <v>1518</v>
      </c>
      <c r="F1577" s="1" cm="1">
        <f t="array" ref="F1577">SUMPRODUCT(("TFLGV-ICEdslExt"=[1]OUT_TransportEnergyCons!$A$3:$A$1000)*1,("var_fout"=[1]OUT_TransportEnergyCons!$B$3:$B$1000)*1,ISNUMBER(SEARCH("TFLGV",[1]OUT_TransportEnergyCons!$C$3:$C$1000))*1,[1]OUT_TransportEnergyCons!D$3:D$1000)</f>
        <v>2.8471346544356484</v>
      </c>
      <c r="G1577" s="1" cm="1">
        <f t="array" ref="G1577">SUMPRODUCT(("TFLGV-ICEdslExt"=[1]OUT_TransportEnergyCons!$A$3:$A$1000)*1,("var_fout"=[1]OUT_TransportEnergyCons!$B$3:$B$1000)*1,ISNUMBER(SEARCH("TFLGV",[1]OUT_TransportEnergyCons!$C$3:$C$1000))*1,[1]OUT_TransportEnergyCons!E$3:E$1000)</f>
        <v>1.993940658874461</v>
      </c>
      <c r="H1577" s="1" cm="1">
        <f t="array" ref="H1577">SUMPRODUCT(("TFLGV-ICEdslExt"=[1]OUT_TransportEnergyCons!$A$3:$A$1000)*1,("var_fout"=[1]OUT_TransportEnergyCons!$B$3:$B$1000)*1,ISNUMBER(SEARCH("TFLGV",[1]OUT_TransportEnergyCons!$C$3:$C$1000))*1,[1]OUT_TransportEnergyCons!F$3:F$1000)</f>
        <v>1.5343418710598851</v>
      </c>
      <c r="I1577" s="1" cm="1">
        <f t="array" ref="I1577">SUMPRODUCT(("TFLGV-ICEdslExt"=[1]OUT_TransportEnergyCons!$A$3:$A$1000)*1,("var_fout"=[1]OUT_TransportEnergyCons!$B$3:$B$1000)*1,ISNUMBER(SEARCH("TFLGV",[1]OUT_TransportEnergyCons!$C$3:$C$1000))*1,[1]OUT_TransportEnergyCons!G$3:G$1000)</f>
        <v>0.76660573784153285</v>
      </c>
      <c r="J1577" s="1" cm="1">
        <f t="array" ref="J1577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SUMPRODUCT(("TFLGV-ICEdslExt"=[1]OUT_TransportEnergyCons!$A$3:$A$1000)*1,("var_fout"=[1]OUT_TransportEnergyCons!$B$3:$B$1000)*1,ISNUMBER(SEARCH("TFLGV",[1]OUT_TransportEnergyCons!$C$3:$C$1000))*1,[1]OUT_TransportEnergyCons!I$3:I$1000)</f>
        <v>0</v>
      </c>
    </row>
    <row r="1578" spans="2:11" x14ac:dyDescent="0.35">
      <c r="B1578" t="str">
        <f t="shared" si="948"/>
        <v>SPS2</v>
      </c>
      <c r="C1578" t="str">
        <f t="shared" si="953"/>
        <v>CH</v>
      </c>
      <c r="D1578" t="s">
        <v>1566</v>
      </c>
      <c r="E1578" t="s">
        <v>1518</v>
      </c>
      <c r="F1578" s="1" cm="1">
        <f t="array" ref="F1578">SUMPRODUCT(("TFLGV-ICEdsl"=[1]OUT_TransportEnergyCons!$A$3:$A$1000)*1,("var_fout"=[1]OUT_TransportEnergyCons!$B$3:$B$1000)*1,ISNUMBER(SEARCH("TFLGV",[1]OUT_TransportEnergyCons!$C$3:$C$1000))*1,[1]OUT_TransportEnergyCons!D$3:D$1000)</f>
        <v>1.5165180529869269</v>
      </c>
      <c r="G1578" s="1" cm="1">
        <f t="array" ref="G1578">SUMPRODUCT(("TFLGV-ICEdsl"=[1]OUT_TransportEnergyCons!$A$3:$A$1000)*1,("var_fout"=[1]OUT_TransportEnergyCons!$B$3:$B$1000)*1,ISNUMBER(SEARCH("TFLGV",[1]OUT_TransportEnergyCons!$C$3:$C$1000))*1,[1]OUT_TransportEnergyCons!E$3:E$1000)</f>
        <v>1.7956378741148604</v>
      </c>
      <c r="H1578" s="1" cm="1">
        <f t="array" ref="H1578">SUMPRODUCT(("TFLGV-ICEdsl"=[1]OUT_TransportEnergyCons!$A$3:$A$1000)*1,("var_fout"=[1]OUT_TransportEnergyCons!$B$3:$B$1000)*1,ISNUMBER(SEARCH("TFLGV",[1]OUT_TransportEnergyCons!$C$3:$C$1000))*1,[1]OUT_TransportEnergyCons!F$3:F$1000)</f>
        <v>1.7398388016065349</v>
      </c>
      <c r="I1578" s="1" cm="1">
        <f t="array" ref="I1578">SUMPRODUCT(("TFLGV-ICEdsl"=[1]OUT_TransportEnergyCons!$A$3:$A$1000)*1,("var_fout"=[1]OUT_TransportEnergyCons!$B$3:$B$1000)*1,ISNUMBER(SEARCH("TFLGV",[1]OUT_TransportEnergyCons!$C$3:$C$1000))*1,[1]OUT_TransportEnergyCons!G$3:G$1000)</f>
        <v>0.71653382482399508</v>
      </c>
      <c r="J1578" s="1" cm="1">
        <f t="array" ref="J1578">SUMPRODUCT(("TFLGV-ICEdsl"=[1]OUT_TransportEnergyCons!$A$3:$A$1000)*1,("var_fout"=[1]OUT_TransportEnergyCons!$B$3:$B$1000)*1,ISNUMBER(SEARCH("TFLGV",[1]OUT_TransportEnergyCons!$C$3:$C$1000))*1,[1]OUT_TransportEnergyCons!H$3:H$1000)</f>
        <v>1.0246932507325709E-4</v>
      </c>
      <c r="K1578" s="1" cm="1">
        <f t="array" ref="K1578">SUMPRODUCT(("TFLGV-ICEdsl"=[1]OUT_TransportEnergyCons!$A$3:$A$1000)*1,("var_fout"=[1]OUT_TransportEnergyCons!$B$3:$B$1000)*1,ISNUMBER(SEARCH("TFLGV",[1]OUT_TransportEnergyCons!$C$3:$C$1000))*1,[1]OUT_TransportEnergyCons!I$3:I$1000)</f>
        <v>0</v>
      </c>
    </row>
    <row r="1579" spans="2:11" x14ac:dyDescent="0.35">
      <c r="B1579" t="str">
        <f t="shared" si="948"/>
        <v>SPS2</v>
      </c>
      <c r="C1579" t="str">
        <f t="shared" si="953"/>
        <v>CH</v>
      </c>
      <c r="D1579" t="s">
        <v>1567</v>
      </c>
      <c r="E1579" t="s">
        <v>1518</v>
      </c>
      <c r="F1579" s="1" cm="1">
        <f t="array" ref="F1579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79" s="1" cm="1">
        <f t="array" ref="G1579">SUMPRODUCT(("TFLGV-HYBDSL"=[1]OUT_TransportEnergyCons!$A$3:$A$1000)*1,("var_fout"=[1]OUT_TransportEnergyCons!$B$3:$B$1000)*1,ISNUMBER(SEARCH("TFLGV",[1]OUT_TransportEnergyCons!$C$3:$C$1000))*1,[1]OUT_TransportEnergyCons!E$3:E$1000)</f>
        <v>0.15725773992305739</v>
      </c>
      <c r="H1579" s="1" cm="1">
        <f t="array" ref="H1579">SUMPRODUCT(("TFLGV-HYBDSL"=[1]OUT_TransportEnergyCons!$A$3:$A$1000)*1,("var_fout"=[1]OUT_TransportEnergyCons!$B$3:$B$1000)*1,ISNUMBER(SEARCH("TFLGV",[1]OUT_TransportEnergyCons!$C$3:$C$1000))*1,[1]OUT_TransportEnergyCons!F$3:F$1000)</f>
        <v>0.84024801698725082</v>
      </c>
      <c r="I1579" s="1" cm="1">
        <f t="array" ref="I1579">SUMPRODUCT(("TFLGV-HYBDSL"=[1]OUT_TransportEnergyCons!$A$3:$A$1000)*1,("var_fout"=[1]OUT_TransportEnergyCons!$B$3:$B$1000)*1,ISNUMBER(SEARCH("TFLGV",[1]OUT_TransportEnergyCons!$C$3:$C$1000))*1,[1]OUT_TransportEnergyCons!G$3:G$1000)</f>
        <v>0.57532192521631664</v>
      </c>
      <c r="J1579" s="1" cm="1">
        <f t="array" ref="J1579">SUMPRODUCT(("TFLGV-HYBDSL"=[1]OUT_TransportEnergyCons!$A$3:$A$1000)*1,("var_fout"=[1]OUT_TransportEnergyCons!$B$3:$B$1000)*1,ISNUMBER(SEARCH("TFLGV",[1]OUT_TransportEnergyCons!$C$3:$C$1000))*1,[1]OUT_TransportEnergyCons!H$3:H$1000)</f>
        <v>1.5809549302239583E-4</v>
      </c>
      <c r="K1579" s="1" cm="1">
        <f t="array" ref="K1579">SUMPRODUCT(("TFLGV-HYBDSL"=[1]OUT_TransportEnergyCons!$A$3:$A$1000)*1,("var_fout"=[1]OUT_TransportEnergyCons!$B$3:$B$1000)*1,ISNUMBER(SEARCH("TFLGV",[1]OUT_TransportEnergyCons!$C$3:$C$1000))*1,[1]OUT_TransportEnergyCons!I$3:I$1000)</f>
        <v>0</v>
      </c>
    </row>
    <row r="1580" spans="2:11" x14ac:dyDescent="0.35">
      <c r="B1580" t="str">
        <f t="shared" si="948"/>
        <v>SPS2</v>
      </c>
      <c r="C1580" t="str">
        <f t="shared" si="953"/>
        <v>CH</v>
      </c>
      <c r="D1580" t="s">
        <v>1568</v>
      </c>
      <c r="E1580" t="s">
        <v>1518</v>
      </c>
      <c r="F1580" s="1" cm="1">
        <f t="array" ref="F1580">SUMPRODUCT(("TFLGV-ICENGA"=[1]OUT_TransportEnergyCons!$A$3:$A$1000)*1,("var_fout"=[1]OUT_TransportEnergyCons!$B$3:$B$1000)*1,ISNUMBER(SEARCH("TFLGV",[1]OUT_TransportEnergyCons!$C$3:$C$1000))*1,[1]OUT_TransportEnergyCons!D$3:D$1000)</f>
        <v>7.8732462639304664E-3</v>
      </c>
      <c r="G1580" s="1" cm="1">
        <f t="array" ref="G1580">SUMPRODUCT(("TFLGV-ICENGA"=[1]OUT_TransportEnergyCons!$A$3:$A$1000)*1,("var_fout"=[1]OUT_TransportEnergyCons!$B$3:$B$1000)*1,ISNUMBER(SEARCH("TFLGV",[1]OUT_TransportEnergyCons!$C$3:$C$1000))*1,[1]OUT_TransportEnergyCons!E$3:E$1000)</f>
        <v>7.6895945127990707E-3</v>
      </c>
      <c r="H1580" s="1" cm="1">
        <f t="array" ref="H1580">SUMPRODUCT(("TFLGV-ICENGA"=[1]OUT_TransportEnergyCons!$A$3:$A$1000)*1,("var_fout"=[1]OUT_TransportEnergyCons!$B$3:$B$1000)*1,ISNUMBER(SEARCH("TFLGV",[1]OUT_TransportEnergyCons!$C$3:$C$1000))*1,[1]OUT_TransportEnergyCons!F$3:F$1000)</f>
        <v>1.0009667269365906E-2</v>
      </c>
      <c r="I1580" s="1" cm="1">
        <f t="array" ref="I1580">SUMPRODUCT(("TFLGV-ICENGA"=[1]OUT_TransportEnergyCons!$A$3:$A$1000)*1,("var_fout"=[1]OUT_TransportEnergyCons!$B$3:$B$1000)*1,ISNUMBER(SEARCH("TFLGV",[1]OUT_TransportEnergyCons!$C$3:$C$1000))*1,[1]OUT_TransportEnergyCons!G$3:G$1000)</f>
        <v>2.4501089579117755E-4</v>
      </c>
      <c r="J1580" s="1" cm="1">
        <f t="array" ref="J1580">SUMPRODUCT(("TFLGV-ICENGA"=[1]OUT_TransportEnergyCons!$A$3:$A$1000)*1,("var_fout"=[1]OUT_TransportEnergyCons!$B$3:$B$1000)*1,ISNUMBER(SEARCH("TFLGV",[1]OUT_TransportEnergyCons!$C$3:$C$1000))*1,[1]OUT_TransportEnergyCons!H$3:H$1000)</f>
        <v>1.5021770038251537E-5</v>
      </c>
      <c r="K1580" s="1" cm="1">
        <f t="array" ref="K1580">SUMPRODUCT(("TFLGV-ICENGA"=[1]OUT_TransportEnergyCons!$A$3:$A$1000)*1,("var_fout"=[1]OUT_TransportEnergyCons!$B$3:$B$1000)*1,ISNUMBER(SEARCH("TFLGV",[1]OUT_TransportEnergyCons!$C$3:$C$1000))*1,[1]OUT_TransportEnergyCons!I$3:I$1000)</f>
        <v>0</v>
      </c>
    </row>
    <row r="1581" spans="2:11" x14ac:dyDescent="0.35">
      <c r="B1581" s="2" t="str">
        <f t="shared" si="948"/>
        <v>SPS2</v>
      </c>
      <c r="C1581" s="2" t="str">
        <f t="shared" si="953"/>
        <v>CH</v>
      </c>
      <c r="D1581" s="2" t="s">
        <v>1569</v>
      </c>
      <c r="E1581" s="2" t="s">
        <v>1577</v>
      </c>
      <c r="F1581" s="24" t="s">
        <v>292</v>
      </c>
      <c r="G1581" s="24" t="s">
        <v>292</v>
      </c>
      <c r="H1581" s="24" t="s">
        <v>292</v>
      </c>
      <c r="I1581" s="24" t="s">
        <v>292</v>
      </c>
      <c r="J1581" s="24" t="s">
        <v>292</v>
      </c>
      <c r="K1581" s="24" t="s">
        <v>292</v>
      </c>
    </row>
    <row r="1582" spans="2:11" x14ac:dyDescent="0.35">
      <c r="B1582" t="str">
        <f t="shared" si="948"/>
        <v>SPS2</v>
      </c>
      <c r="C1582" t="str">
        <f t="shared" si="953"/>
        <v>CH</v>
      </c>
      <c r="D1582" t="s">
        <v>1570</v>
      </c>
      <c r="E1582" t="s">
        <v>1577</v>
      </c>
      <c r="F1582" s="1">
        <f>IFERROR(F1572/F1546,"-")</f>
        <v>0.68922285337539591</v>
      </c>
      <c r="G1582" s="1">
        <f t="shared" ref="G1582:K1582" si="967">IFERROR(G1572/G1546,"-")</f>
        <v>0.69564643130450499</v>
      </c>
      <c r="H1582" s="1">
        <f t="shared" si="967"/>
        <v>0.70528179819816983</v>
      </c>
      <c r="I1582" s="1">
        <f t="shared" si="967"/>
        <v>0.70528179819816961</v>
      </c>
      <c r="J1582" s="1" t="str">
        <f t="shared" si="967"/>
        <v>-</v>
      </c>
      <c r="K1582" s="1" t="str">
        <f t="shared" si="967"/>
        <v>-</v>
      </c>
    </row>
    <row r="1583" spans="2:11" x14ac:dyDescent="0.35">
      <c r="B1583" t="str">
        <f t="shared" si="948"/>
        <v>SPS2</v>
      </c>
      <c r="C1583" t="str">
        <f t="shared" si="953"/>
        <v>CH</v>
      </c>
      <c r="D1583" t="s">
        <v>1571</v>
      </c>
      <c r="E1583" t="s">
        <v>1577</v>
      </c>
      <c r="F1583" s="1">
        <f>IFERROR(F1573/F1547,"-")</f>
        <v>0.68135756995377328</v>
      </c>
      <c r="G1583" s="1">
        <f t="shared" ref="G1583:K1583" si="968">IFERROR(G1573/G1547,"-")</f>
        <v>0.68135756995377206</v>
      </c>
      <c r="H1583" s="1">
        <f t="shared" si="968"/>
        <v>0.68135756995377306</v>
      </c>
      <c r="I1583" s="1">
        <f t="shared" si="968"/>
        <v>0.68135756995377339</v>
      </c>
      <c r="J1583" s="1">
        <f t="shared" si="968"/>
        <v>0.68135756995377261</v>
      </c>
      <c r="K1583" s="1">
        <f t="shared" si="968"/>
        <v>0.6813575699537725</v>
      </c>
    </row>
    <row r="1584" spans="2:11" x14ac:dyDescent="0.35">
      <c r="B1584" t="str">
        <f t="shared" si="948"/>
        <v>SPS2</v>
      </c>
      <c r="C1584" t="str">
        <f t="shared" si="953"/>
        <v>CH</v>
      </c>
      <c r="D1584" t="s">
        <v>1572</v>
      </c>
      <c r="E1584" t="s">
        <v>1577</v>
      </c>
      <c r="F1584" s="1" t="str">
        <f>IFERROR(F1574/F1549,"-")</f>
        <v>-</v>
      </c>
      <c r="G1584" s="1">
        <f t="shared" ref="G1584:K1584" si="969">IFERROR(G1574/G1549,"-")</f>
        <v>0.46510343171505431</v>
      </c>
      <c r="H1584" s="1">
        <f t="shared" si="969"/>
        <v>0.47305767551769679</v>
      </c>
      <c r="I1584" s="1">
        <f t="shared" si="969"/>
        <v>0.49466078379662753</v>
      </c>
      <c r="J1584" s="1">
        <f t="shared" si="969"/>
        <v>0.56357676915895649</v>
      </c>
      <c r="K1584" s="1">
        <f t="shared" si="969"/>
        <v>0.59214708035163455</v>
      </c>
    </row>
    <row r="1585" spans="2:11" x14ac:dyDescent="0.35">
      <c r="B1585" t="str">
        <f t="shared" si="948"/>
        <v>SPS2</v>
      </c>
      <c r="C1585" t="str">
        <f t="shared" si="953"/>
        <v>CH</v>
      </c>
      <c r="D1585" t="s">
        <v>1592</v>
      </c>
      <c r="E1585" t="s">
        <v>1577</v>
      </c>
      <c r="F1585" s="1">
        <f>IFERROR(F1575/F1555,"-")</f>
        <v>0.27758325613681006</v>
      </c>
      <c r="G1585" s="1">
        <f t="shared" ref="G1585:K1585" si="970">IFERROR(G1575/G1555,"-")</f>
        <v>0.28017034051580103</v>
      </c>
      <c r="H1585" s="1">
        <f t="shared" si="970"/>
        <v>0.28405096708428695</v>
      </c>
      <c r="I1585" s="1">
        <f t="shared" si="970"/>
        <v>0.28405096708428718</v>
      </c>
      <c r="J1585" s="1" t="str">
        <f t="shared" si="970"/>
        <v>-</v>
      </c>
      <c r="K1585" s="1" t="str">
        <f t="shared" si="970"/>
        <v>-</v>
      </c>
    </row>
    <row r="1586" spans="2:11" x14ac:dyDescent="0.35">
      <c r="B1586" t="str">
        <f t="shared" si="948"/>
        <v>SPS2</v>
      </c>
      <c r="C1586" t="str">
        <f t="shared" si="953"/>
        <v>CH</v>
      </c>
      <c r="D1586" t="s">
        <v>1593</v>
      </c>
      <c r="E1586" t="s">
        <v>1577</v>
      </c>
      <c r="F1586" s="1">
        <f>IFERROR(F1576/F1556,"-")</f>
        <v>0.35122961215622095</v>
      </c>
      <c r="G1586" s="1">
        <f t="shared" ref="G1586:K1586" si="971">IFERROR(G1576/G1556,"-")</f>
        <v>0.35122961215622045</v>
      </c>
      <c r="H1586" s="1">
        <f t="shared" si="971"/>
        <v>0.35122961215622117</v>
      </c>
      <c r="I1586" s="1">
        <f t="shared" si="971"/>
        <v>0.35122961215622078</v>
      </c>
      <c r="J1586" s="1">
        <f t="shared" si="971"/>
        <v>0.351229612156221</v>
      </c>
      <c r="K1586" s="1" t="str">
        <f t="shared" si="971"/>
        <v>-</v>
      </c>
    </row>
    <row r="1587" spans="2:11" x14ac:dyDescent="0.35">
      <c r="B1587" t="str">
        <f t="shared" si="948"/>
        <v>SPS2</v>
      </c>
      <c r="C1587" t="str">
        <f t="shared" si="953"/>
        <v>CH</v>
      </c>
      <c r="D1587" t="s">
        <v>1573</v>
      </c>
      <c r="E1587" t="s">
        <v>1577</v>
      </c>
      <c r="F1587" s="1">
        <f>IFERROR(F1577/F1562,"-")</f>
        <v>0.25903663625928686</v>
      </c>
      <c r="G1587" s="1">
        <f t="shared" ref="G1587:K1587" si="972">IFERROR(G1577/G1562,"-")</f>
        <v>0.26793746277611225</v>
      </c>
      <c r="H1587" s="1">
        <f t="shared" si="972"/>
        <v>0.28128870255134997</v>
      </c>
      <c r="I1587" s="1">
        <f t="shared" si="972"/>
        <v>0.2812887025513503</v>
      </c>
      <c r="J1587" s="1" t="str">
        <f t="shared" si="972"/>
        <v>-</v>
      </c>
      <c r="K1587" s="1" t="str">
        <f t="shared" si="972"/>
        <v>-</v>
      </c>
    </row>
    <row r="1588" spans="2:11" x14ac:dyDescent="0.35">
      <c r="B1588" t="str">
        <f t="shared" ref="B1588:B1651" si="973">B1587</f>
        <v>SPS2</v>
      </c>
      <c r="C1588" t="str">
        <f t="shared" si="953"/>
        <v>CH</v>
      </c>
      <c r="D1588" t="s">
        <v>1574</v>
      </c>
      <c r="E1588" t="s">
        <v>1577</v>
      </c>
      <c r="F1588" s="1">
        <f>IFERROR(F1578/F1563,"-")</f>
        <v>0.34211451343153226</v>
      </c>
      <c r="G1588" s="1">
        <f t="shared" ref="G1588:K1588" si="974">IFERROR(G1578/G1563,"-")</f>
        <v>0.34211451343153088</v>
      </c>
      <c r="H1588" s="1">
        <f t="shared" si="974"/>
        <v>0.34211451343153276</v>
      </c>
      <c r="I1588" s="1">
        <f t="shared" si="974"/>
        <v>0.34211451343153304</v>
      </c>
      <c r="J1588" s="1">
        <f t="shared" si="974"/>
        <v>0.34211451343153221</v>
      </c>
      <c r="K1588" s="1" t="str">
        <f t="shared" si="974"/>
        <v>-</v>
      </c>
    </row>
    <row r="1589" spans="2:11" x14ac:dyDescent="0.35">
      <c r="B1589" t="str">
        <f t="shared" si="973"/>
        <v>SPS2</v>
      </c>
      <c r="C1589" t="str">
        <f t="shared" si="953"/>
        <v>CH</v>
      </c>
      <c r="D1589" t="s">
        <v>1575</v>
      </c>
      <c r="E1589" t="s">
        <v>1577</v>
      </c>
      <c r="F1589" s="1" t="str">
        <f>IFERROR(F1579/F1564,"-")</f>
        <v>-</v>
      </c>
      <c r="G1589" s="1">
        <f t="shared" ref="G1589:K1589" si="975">IFERROR(G1579/G1564,"-")</f>
        <v>0.46076759264650813</v>
      </c>
      <c r="H1589" s="1">
        <f t="shared" si="975"/>
        <v>0.46076759264650824</v>
      </c>
      <c r="I1589" s="1">
        <f t="shared" si="975"/>
        <v>0.46076759264650757</v>
      </c>
      <c r="J1589" s="1">
        <f t="shared" si="975"/>
        <v>0.46076759264650807</v>
      </c>
      <c r="K1589" s="1" t="str">
        <f t="shared" si="975"/>
        <v>-</v>
      </c>
    </row>
    <row r="1590" spans="2:11" x14ac:dyDescent="0.35">
      <c r="B1590" t="str">
        <f t="shared" si="973"/>
        <v>SPS2</v>
      </c>
      <c r="C1590" t="str">
        <f t="shared" si="953"/>
        <v>CH</v>
      </c>
      <c r="D1590" t="s">
        <v>1576</v>
      </c>
      <c r="E1590" t="s">
        <v>1577</v>
      </c>
      <c r="F1590" s="1">
        <f>IFERROR(F1580/F1570,"-")</f>
        <v>0.32057692743517963</v>
      </c>
      <c r="G1590" s="1">
        <f t="shared" ref="G1590:K1590" si="976">IFERROR(G1580/G1570,"-")</f>
        <v>0.32057692743517985</v>
      </c>
      <c r="H1590" s="1">
        <f t="shared" si="976"/>
        <v>0.32057692743517974</v>
      </c>
      <c r="I1590" s="1">
        <f t="shared" si="976"/>
        <v>0.32057692743518007</v>
      </c>
      <c r="J1590" s="1">
        <f t="shared" si="976"/>
        <v>0.32057692743518007</v>
      </c>
      <c r="K1590" s="1" t="str">
        <f t="shared" si="976"/>
        <v>-</v>
      </c>
    </row>
    <row r="1591" spans="2:11" x14ac:dyDescent="0.35">
      <c r="B1591" s="2" t="str">
        <f t="shared" si="973"/>
        <v>SPS2</v>
      </c>
      <c r="C1591" s="2" t="str">
        <f>C1590</f>
        <v>CH</v>
      </c>
      <c r="D1591" s="2" t="s">
        <v>1597</v>
      </c>
      <c r="E1591" s="2" t="s">
        <v>8</v>
      </c>
      <c r="F1591" s="3">
        <f>F1592+F1595+F1597+F1604+F1612</f>
        <v>24.512033168179304</v>
      </c>
      <c r="G1591" s="3">
        <f t="shared" ref="G1591" si="977">G1592+G1595+G1597+G1604+G1612</f>
        <v>22.848286067049887</v>
      </c>
      <c r="H1591" s="3">
        <f t="shared" ref="H1591" si="978">H1592+H1595+H1597+H1604+H1612</f>
        <v>20.462517342355142</v>
      </c>
      <c r="I1591" s="3">
        <f t="shared" ref="I1591" si="979">I1592+I1595+I1597+I1604+I1612</f>
        <v>12.755522628010947</v>
      </c>
      <c r="J1591" s="3">
        <f t="shared" ref="J1591" si="980">J1592+J1595+J1597+J1604+J1612</f>
        <v>9.4487417958666882</v>
      </c>
      <c r="K1591" s="3">
        <f t="shared" ref="K1591" si="981">K1592+K1595+K1597+K1604+K1612</f>
        <v>8.0305424789777149</v>
      </c>
    </row>
    <row r="1592" spans="2:11" x14ac:dyDescent="0.35">
      <c r="B1592" t="str">
        <f t="shared" si="973"/>
        <v>SPS2</v>
      </c>
      <c r="C1592" t="str">
        <f t="shared" ref="C1592:C1637" si="982">C1591</f>
        <v>CH</v>
      </c>
      <c r="D1592" t="s">
        <v>1598</v>
      </c>
      <c r="E1592" t="str">
        <f>E1591</f>
        <v>PJ/yr.</v>
      </c>
      <c r="F1592" s="1">
        <f>SUM(F1593:F1594)</f>
        <v>9.6033148755365148E-3</v>
      </c>
      <c r="G1592" s="1">
        <f t="shared" ref="G1592" si="983">SUM(G1593:G1594)</f>
        <v>2.5199092855645068E-2</v>
      </c>
      <c r="H1592" s="1">
        <f t="shared" ref="H1592" si="984">SUM(H1593:H1594)</f>
        <v>2.8780032682396692E-2</v>
      </c>
      <c r="I1592" s="1">
        <f t="shared" ref="I1592" si="985">SUM(I1593:I1594)</f>
        <v>4.8029995641935521</v>
      </c>
      <c r="J1592" s="1">
        <f t="shared" ref="J1592" si="986">SUM(J1593:J1594)</f>
        <v>6.5292515469329109</v>
      </c>
      <c r="K1592" s="1">
        <f t="shared" ref="K1592" si="987">SUM(K1593:K1594)</f>
        <v>8.0285399837240714</v>
      </c>
    </row>
    <row r="1593" spans="2:11" x14ac:dyDescent="0.35">
      <c r="B1593" t="str">
        <f t="shared" si="973"/>
        <v>SPS2</v>
      </c>
      <c r="C1593" t="str">
        <f t="shared" si="982"/>
        <v>CH</v>
      </c>
      <c r="D1593" t="s">
        <v>1599</v>
      </c>
      <c r="E1593" t="str">
        <f t="shared" ref="E1593:E1617" si="988">E1592</f>
        <v>PJ/yr.</v>
      </c>
      <c r="F1593" s="1" cm="1">
        <f t="array" ref="F1593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3" s="1" cm="1">
        <f t="array" ref="G1593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3" s="1" cm="1">
        <f t="array" ref="H1593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3" s="1" cm="1">
        <f t="array" ref="I1593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3" s="1" cm="1">
        <f t="array" ref="J1593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3" s="1" cm="1">
        <f t="array" ref="K1593">SUMPRODUCT(("TFHGV-BeVELCExt"=[1]OUT_TransportEnergyCons!$A$3:$A$1000)*1,("Var_Fin"=[1]OUT_TransportEnergyCons!$B$3:$B$1000)*1,ISNUMBER(SEARCH("ELC",[1]OUT_TransportEnergyCons!$C$3:$C$1000))*1,[1]OUT_TransportEnergyCons!I$3:I$1000)</f>
        <v>0</v>
      </c>
    </row>
    <row r="1594" spans="2:11" x14ac:dyDescent="0.35">
      <c r="B1594" t="str">
        <f t="shared" si="973"/>
        <v>SPS2</v>
      </c>
      <c r="C1594" t="str">
        <f t="shared" si="982"/>
        <v>CH</v>
      </c>
      <c r="D1594" t="s">
        <v>1600</v>
      </c>
      <c r="E1594" t="str">
        <f t="shared" si="988"/>
        <v>PJ/yr.</v>
      </c>
      <c r="F1594" s="1" cm="1">
        <f t="array" ref="F1594">SUMPRODUCT(("TFHGV-BEVELC"=[1]OUT_TransportEnergyCons!$A$3:$A$1000)*1,("Var_Fin"=[1]OUT_TransportEnergyCons!$B$3:$B$1000)*1,ISNUMBER(SEARCH("ELC",[1]OUT_TransportEnergyCons!$C$3:$C$1000))*1,[1]OUT_TransportEnergyCons!D$3:D$1000)</f>
        <v>9.6033148755365148E-3</v>
      </c>
      <c r="G1594" s="1" cm="1">
        <f t="array" ref="G1594">SUMPRODUCT(("TFHGV-BEVELC"=[1]OUT_TransportEnergyCons!$A$3:$A$1000)*1,("Var_Fin"=[1]OUT_TransportEnergyCons!$B$3:$B$1000)*1,ISNUMBER(SEARCH("ELC",[1]OUT_TransportEnergyCons!$C$3:$C$1000))*1,[1]OUT_TransportEnergyCons!E$3:E$1000)</f>
        <v>2.5199092855645068E-2</v>
      </c>
      <c r="H1594" s="1" cm="1">
        <f t="array" ref="H1594">SUMPRODUCT(("TFHGV-BEVELC"=[1]OUT_TransportEnergyCons!$A$3:$A$1000)*1,("Var_Fin"=[1]OUT_TransportEnergyCons!$B$3:$B$1000)*1,ISNUMBER(SEARCH("ELC",[1]OUT_TransportEnergyCons!$C$3:$C$1000))*1,[1]OUT_TransportEnergyCons!F$3:F$1000)</f>
        <v>2.8780032682396692E-2</v>
      </c>
      <c r="I1594" s="1" cm="1">
        <f t="array" ref="I1594">SUMPRODUCT(("TFHGV-BEVELC"=[1]OUT_TransportEnergyCons!$A$3:$A$1000)*1,("Var_Fin"=[1]OUT_TransportEnergyCons!$B$3:$B$1000)*1,ISNUMBER(SEARCH("ELC",[1]OUT_TransportEnergyCons!$C$3:$C$1000))*1,[1]OUT_TransportEnergyCons!G$3:G$1000)</f>
        <v>4.8029995641935521</v>
      </c>
      <c r="J1594" s="1" cm="1">
        <f t="array" ref="J1594">SUMPRODUCT(("TFHGV-BEVELC"=[1]OUT_TransportEnergyCons!$A$3:$A$1000)*1,("Var_Fin"=[1]OUT_TransportEnergyCons!$B$3:$B$1000)*1,ISNUMBER(SEARCH("ELC",[1]OUT_TransportEnergyCons!$C$3:$C$1000))*1,[1]OUT_TransportEnergyCons!H$3:H$1000)</f>
        <v>6.5292515469329109</v>
      </c>
      <c r="K1594" s="1" cm="1">
        <f t="array" ref="K1594">SUMPRODUCT(("TFHGV-BEVELC"=[1]OUT_TransportEnergyCons!$A$3:$A$1000)*1,("Var_Fin"=[1]OUT_TransportEnergyCons!$B$3:$B$1000)*1,ISNUMBER(SEARCH("ELC",[1]OUT_TransportEnergyCons!$C$3:$C$1000))*1,[1]OUT_TransportEnergyCons!I$3:I$1000)</f>
        <v>8.0285399837240714</v>
      </c>
    </row>
    <row r="1595" spans="2:11" x14ac:dyDescent="0.35">
      <c r="B1595" t="str">
        <f t="shared" si="973"/>
        <v>SPS2</v>
      </c>
      <c r="C1595" t="str">
        <f t="shared" si="982"/>
        <v>CH</v>
      </c>
      <c r="D1595" t="s">
        <v>1601</v>
      </c>
      <c r="E1595" t="str">
        <f t="shared" si="988"/>
        <v>PJ/yr.</v>
      </c>
      <c r="F1595" s="1">
        <f>F1596</f>
        <v>3.3569159793586847E-3</v>
      </c>
      <c r="G1595" s="1">
        <f t="shared" ref="G1595" si="989">G1596</f>
        <v>2.6560608431605622E-3</v>
      </c>
      <c r="H1595" s="1">
        <f t="shared" ref="H1595" si="990">H1596</f>
        <v>2.6706968089614943E-3</v>
      </c>
      <c r="I1595" s="1">
        <f t="shared" ref="I1595" si="991">I1596</f>
        <v>1.0246062355215885E-3</v>
      </c>
      <c r="J1595" s="1">
        <f t="shared" ref="J1595" si="992">J1596</f>
        <v>8.5070366530038256E-4</v>
      </c>
      <c r="K1595" s="1">
        <f t="shared" ref="K1595" si="993">K1596</f>
        <v>7.1973198884357E-4</v>
      </c>
    </row>
    <row r="1596" spans="2:11" x14ac:dyDescent="0.35">
      <c r="B1596" t="str">
        <f t="shared" si="973"/>
        <v>SPS2</v>
      </c>
      <c r="C1596" t="str">
        <f t="shared" si="982"/>
        <v>CH</v>
      </c>
      <c r="D1596" t="s">
        <v>1602</v>
      </c>
      <c r="E1596" t="str">
        <f t="shared" si="988"/>
        <v>PJ/yr.</v>
      </c>
      <c r="F1596" s="1" cm="1">
        <f t="array" ref="F1596">SUMPRODUCT(("TFHGV-FCLH2O"=[1]OUT_TransportEnergyCons!$A$3:$A$1000)*1,("Var_Fin"=[1]OUT_TransportEnergyCons!$B$3:$B$1000)*1,ISNUMBER(SEARCH("h2",[1]OUT_TransportEnergyCons!$C$3:$C$1000))*1,[1]OUT_TransportEnergyCons!D$3:D$1000)</f>
        <v>3.3569159793586847E-3</v>
      </c>
      <c r="G1596" s="1" cm="1">
        <f t="array" ref="G1596">SUMPRODUCT(("TFHGV-FCLH2O"=[1]OUT_TransportEnergyCons!$A$3:$A$1000)*1,("Var_Fin"=[1]OUT_TransportEnergyCons!$B$3:$B$1000)*1,ISNUMBER(SEARCH("h2",[1]OUT_TransportEnergyCons!$C$3:$C$1000))*1,[1]OUT_TransportEnergyCons!E$3:E$1000)</f>
        <v>2.6560608431605622E-3</v>
      </c>
      <c r="H1596" s="1" cm="1">
        <f t="array" ref="H1596">SUMPRODUCT(("TFHGV-FCLH2O"=[1]OUT_TransportEnergyCons!$A$3:$A$1000)*1,("Var_Fin"=[1]OUT_TransportEnergyCons!$B$3:$B$1000)*1,ISNUMBER(SEARCH("h2",[1]OUT_TransportEnergyCons!$C$3:$C$1000))*1,[1]OUT_TransportEnergyCons!F$3:F$1000)</f>
        <v>2.6706968089614943E-3</v>
      </c>
      <c r="I1596" s="1" cm="1">
        <f t="array" ref="I1596">SUMPRODUCT(("TFHGV-FCLH2O"=[1]OUT_TransportEnergyCons!$A$3:$A$1000)*1,("Var_Fin"=[1]OUT_TransportEnergyCons!$B$3:$B$1000)*1,ISNUMBER(SEARCH("h2",[1]OUT_TransportEnergyCons!$C$3:$C$1000))*1,[1]OUT_TransportEnergyCons!G$3:G$1000)</f>
        <v>1.0246062355215885E-3</v>
      </c>
      <c r="J1596" s="1" cm="1">
        <f t="array" ref="J1596">SUMPRODUCT(("TFHGV-FCLH2O"=[1]OUT_TransportEnergyCons!$A$3:$A$1000)*1,("Var_Fin"=[1]OUT_TransportEnergyCons!$B$3:$B$1000)*1,ISNUMBER(SEARCH("h2",[1]OUT_TransportEnergyCons!$C$3:$C$1000))*1,[1]OUT_TransportEnergyCons!H$3:H$1000)</f>
        <v>8.5070366530038256E-4</v>
      </c>
      <c r="K1596" s="1" cm="1">
        <f t="array" ref="K1596">SUMPRODUCT(("TFHGV-FCLH2O"=[1]OUT_TransportEnergyCons!$A$3:$A$1000)*1,("Var_Fin"=[1]OUT_TransportEnergyCons!$B$3:$B$1000)*1,ISNUMBER(SEARCH("h2",[1]OUT_TransportEnergyCons!$C$3:$C$1000))*1,[1]OUT_TransportEnergyCons!I$3:I$1000)</f>
        <v>7.1973198884357E-4</v>
      </c>
    </row>
    <row r="1597" spans="2:11" x14ac:dyDescent="0.35">
      <c r="B1597" t="str">
        <f t="shared" si="973"/>
        <v>SPS2</v>
      </c>
      <c r="C1597" t="str">
        <f t="shared" si="982"/>
        <v>CH</v>
      </c>
      <c r="D1597" t="s">
        <v>1603</v>
      </c>
      <c r="E1597" t="str">
        <f t="shared" si="988"/>
        <v>PJ/yr.</v>
      </c>
      <c r="F1597" s="1">
        <f>SUM(F1602:F1603)</f>
        <v>0</v>
      </c>
      <c r="G1597" s="1">
        <f t="shared" ref="G1597:K1597" si="994">SUM(G1602:G1603)</f>
        <v>0</v>
      </c>
      <c r="H1597" s="1">
        <f t="shared" si="994"/>
        <v>0</v>
      </c>
      <c r="I1597" s="1">
        <f t="shared" si="994"/>
        <v>0</v>
      </c>
      <c r="J1597" s="1">
        <f t="shared" si="994"/>
        <v>0</v>
      </c>
      <c r="K1597" s="1">
        <f t="shared" si="994"/>
        <v>0</v>
      </c>
    </row>
    <row r="1598" spans="2:11" x14ac:dyDescent="0.35">
      <c r="B1598" t="str">
        <f t="shared" si="973"/>
        <v>SPS2</v>
      </c>
      <c r="C1598" t="str">
        <f t="shared" si="982"/>
        <v>CH</v>
      </c>
      <c r="D1598" t="s">
        <v>1604</v>
      </c>
      <c r="E1598" t="str">
        <f t="shared" si="988"/>
        <v>PJ/yr.</v>
      </c>
      <c r="F1598" s="1">
        <f>F1597-F1599</f>
        <v>0</v>
      </c>
      <c r="G1598" s="1">
        <f t="shared" ref="G1598:K1598" si="995">G1597-G1599</f>
        <v>0</v>
      </c>
      <c r="H1598" s="1">
        <f t="shared" si="995"/>
        <v>0</v>
      </c>
      <c r="I1598" s="1">
        <f t="shared" si="995"/>
        <v>0</v>
      </c>
      <c r="J1598" s="1">
        <f t="shared" si="995"/>
        <v>0</v>
      </c>
      <c r="K1598" s="1">
        <f t="shared" si="995"/>
        <v>0</v>
      </c>
    </row>
    <row r="1599" spans="2:11" x14ac:dyDescent="0.35">
      <c r="B1599" t="str">
        <f t="shared" si="973"/>
        <v>SPS2</v>
      </c>
      <c r="C1599" t="str">
        <f t="shared" si="982"/>
        <v>CH</v>
      </c>
      <c r="D1599" t="s">
        <v>1605</v>
      </c>
      <c r="E1599" t="str">
        <f t="shared" si="988"/>
        <v>PJ/yr.</v>
      </c>
      <c r="F1599" s="1">
        <f>SUM(F1600:F1601)</f>
        <v>0</v>
      </c>
      <c r="G1599" s="1">
        <f t="shared" ref="G1599:K1599" si="996">SUM(G1600:G1601)</f>
        <v>0</v>
      </c>
      <c r="H1599" s="1">
        <f t="shared" si="996"/>
        <v>0</v>
      </c>
      <c r="I1599" s="1">
        <f t="shared" si="996"/>
        <v>0</v>
      </c>
      <c r="J1599" s="1">
        <f t="shared" si="996"/>
        <v>0</v>
      </c>
      <c r="K1599" s="1">
        <f t="shared" si="996"/>
        <v>0</v>
      </c>
    </row>
    <row r="1600" spans="2:11" x14ac:dyDescent="0.35">
      <c r="B1600" t="str">
        <f t="shared" si="973"/>
        <v>SPS2</v>
      </c>
      <c r="C1600" t="str">
        <f t="shared" si="982"/>
        <v>CH</v>
      </c>
      <c r="D1600" t="s">
        <v>1606</v>
      </c>
      <c r="E1600" t="str">
        <f t="shared" si="988"/>
        <v>PJ/yr.</v>
      </c>
      <c r="F1600" s="1">
        <f>[1]Transport!B$25/SUM([1]Transport!B$21,[1]Transport!B$25)*F1597*(F$34+F$598)/(F$34+F$598+F$37)</f>
        <v>0</v>
      </c>
      <c r="G1600" s="1">
        <f>[1]Transport!C$25/SUM([1]Transport!C$21,[1]Transport!C$25)*G1597*(G$34+G$598)/(G$34+G$598+G$37)</f>
        <v>0</v>
      </c>
      <c r="H1600" s="1">
        <f>[1]Transport!D$25/SUM([1]Transport!D$21,[1]Transport!D$25)*H1597*(H$34+H$598)/(H$34+H$598+H$37)</f>
        <v>0</v>
      </c>
      <c r="I1600" s="1">
        <f>[1]Transport!E$25/SUM([1]Transport!E$21,[1]Transport!E$25)*I1597*(I$34+I$598)/(I$34+I$598+I$37)</f>
        <v>0</v>
      </c>
      <c r="J1600" s="1">
        <f>[1]Transport!F$25/SUM([1]Transport!F$21,[1]Transport!F$25)*J1597*(J$34+J$598)/(J$34+J$598+J$37)</f>
        <v>0</v>
      </c>
      <c r="K1600" s="1">
        <f>[1]Transport!G$25/SUM([1]Transport!G$21,[1]Transport!G$25)*K1597*(K$34+K$598)/(K$34+K$598+K$37)</f>
        <v>0</v>
      </c>
    </row>
    <row r="1601" spans="2:11" x14ac:dyDescent="0.35">
      <c r="B1601" t="str">
        <f t="shared" si="973"/>
        <v>SPS2</v>
      </c>
      <c r="C1601" t="str">
        <f t="shared" si="982"/>
        <v>CH</v>
      </c>
      <c r="D1601" t="s">
        <v>1607</v>
      </c>
      <c r="E1601" t="str">
        <f t="shared" si="988"/>
        <v>PJ/yr.</v>
      </c>
      <c r="F1601" s="1">
        <f>(F$37+F$717)/([1]Transport!B$21+[1]Transport!B$25)*F1597</f>
        <v>0</v>
      </c>
      <c r="G1601" s="1">
        <f>(G$37+G$717)/([1]Transport!C$21+[1]Transport!C$25)*G1597</f>
        <v>0</v>
      </c>
      <c r="H1601" s="1">
        <f>(H$37+H$717)/([1]Transport!D$21+[1]Transport!D$25)*H1597</f>
        <v>0</v>
      </c>
      <c r="I1601" s="1">
        <f>(I$37+I$717)/([1]Transport!E$21+[1]Transport!E$25)*I1597</f>
        <v>0</v>
      </c>
      <c r="J1601" s="1">
        <f>(J$37+J$717)/([1]Transport!F$21+[1]Transport!F$25)*J1597</f>
        <v>0</v>
      </c>
      <c r="K1601" s="1">
        <f>(K$37+K$717)/([1]Transport!G$21+[1]Transport!G$25)*K1597</f>
        <v>0</v>
      </c>
    </row>
    <row r="1602" spans="2:11" x14ac:dyDescent="0.35">
      <c r="B1602" t="str">
        <f t="shared" si="973"/>
        <v>SPS2</v>
      </c>
      <c r="C1602" t="str">
        <f t="shared" si="982"/>
        <v>CH</v>
      </c>
      <c r="D1602" t="s">
        <v>1608</v>
      </c>
      <c r="E1602" t="str">
        <f t="shared" si="988"/>
        <v>PJ/yr.</v>
      </c>
      <c r="F1602" s="1" cm="1">
        <f t="array" ref="F1602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2" s="1" cm="1">
        <f t="array" ref="G1602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2" s="1" cm="1">
        <f t="array" ref="H1602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2" s="1" cm="1">
        <f t="array" ref="I1602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2" s="1" cm="1">
        <f t="array" ref="J1602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2" s="1" cm="1">
        <f t="array" ref="K1602">SUMPRODUCT(("TFHGV-ICEGSLExt"=[1]OUT_TransportEnergyCons!$A$3:$A$1000)*1,("Var_Fin"=[1]OUT_TransportEnergyCons!$B$3:$B$1000)*1,ISNUMBER(SEARCH("gsl",[1]OUT_TransportEnergyCons!$C$3:$C$1000))*1,[1]OUT_TransportEnergyCons!I$3:I$1000)</f>
        <v>0</v>
      </c>
    </row>
    <row r="1603" spans="2:11" x14ac:dyDescent="0.35">
      <c r="B1603" t="str">
        <f t="shared" si="973"/>
        <v>SPS2</v>
      </c>
      <c r="C1603" t="str">
        <f t="shared" si="982"/>
        <v>CH</v>
      </c>
      <c r="D1603" t="s">
        <v>1609</v>
      </c>
      <c r="E1603" t="str">
        <f t="shared" si="988"/>
        <v>PJ/yr.</v>
      </c>
      <c r="F1603" s="1" cm="1">
        <f t="array" ref="F1603">SUMPRODUCT(("TFHGV-ICEGSL"=[1]OUT_TransportEnergyCons!$A$3:$A$1000)*1,("Var_Fin"=[1]OUT_TransportEnergyCons!$B$3:$B$1000)*1,ISNUMBER(SEARCH("gsl",[1]OUT_TransportEnergyCons!$C$3:$C$1000))*1,[1]OUT_TransportEnergyCons!D$3:D$1000)</f>
        <v>0</v>
      </c>
      <c r="G1603" s="1" cm="1">
        <f t="array" ref="G1603">SUMPRODUCT(("TFHGV-ICEGSL"=[1]OUT_TransportEnergyCons!$A$3:$A$1000)*1,("Var_Fin"=[1]OUT_TransportEnergyCons!$B$3:$B$1000)*1,ISNUMBER(SEARCH("gsl",[1]OUT_TransportEnergyCons!$C$3:$C$1000))*1,[1]OUT_TransportEnergyCons!E$3:E$1000)</f>
        <v>0</v>
      </c>
      <c r="H1603" s="1" cm="1">
        <f t="array" ref="H1603">SUMPRODUCT(("TFHGV-ICEGSL"=[1]OUT_TransportEnergyCons!$A$3:$A$1000)*1,("Var_Fin"=[1]OUT_TransportEnergyCons!$B$3:$B$1000)*1,ISNUMBER(SEARCH("gsl",[1]OUT_TransportEnergyCons!$C$3:$C$1000))*1,[1]OUT_TransportEnergyCons!F$3:F$1000)</f>
        <v>0</v>
      </c>
      <c r="I1603" s="1" cm="1">
        <f t="array" ref="I1603">SUMPRODUCT(("TFHGV-ICEGSL"=[1]OUT_TransportEnergyCons!$A$3:$A$1000)*1,("Var_Fin"=[1]OUT_TransportEnergyCons!$B$3:$B$1000)*1,ISNUMBER(SEARCH("gsl",[1]OUT_TransportEnergyCons!$C$3:$C$1000))*1,[1]OUT_TransportEnergyCons!G$3:G$1000)</f>
        <v>0</v>
      </c>
      <c r="J1603" s="1" cm="1">
        <f t="array" ref="J1603">SUMPRODUCT(("TFHGV-ICEGSL"=[1]OUT_TransportEnergyCons!$A$3:$A$1000)*1,("Var_Fin"=[1]OUT_TransportEnergyCons!$B$3:$B$1000)*1,ISNUMBER(SEARCH("gsl",[1]OUT_TransportEnergyCons!$C$3:$C$1000))*1,[1]OUT_TransportEnergyCons!H$3:H$1000)</f>
        <v>0</v>
      </c>
      <c r="K1603" s="1" cm="1">
        <f t="array" ref="K1603">SUMPRODUCT(("TFHGV-ICEGSL"=[1]OUT_TransportEnergyCons!$A$3:$A$1000)*1,("Var_Fin"=[1]OUT_TransportEnergyCons!$B$3:$B$1000)*1,ISNUMBER(SEARCH("gsl",[1]OUT_TransportEnergyCons!$C$3:$C$1000))*1,[1]OUT_TransportEnergyCons!I$3:I$1000)</f>
        <v>0</v>
      </c>
    </row>
    <row r="1604" spans="2:11" x14ac:dyDescent="0.35">
      <c r="B1604" t="str">
        <f t="shared" si="973"/>
        <v>SPS2</v>
      </c>
      <c r="C1604" t="str">
        <f t="shared" si="982"/>
        <v>CH</v>
      </c>
      <c r="D1604" t="s">
        <v>1610</v>
      </c>
      <c r="E1604" t="str">
        <f t="shared" si="988"/>
        <v>PJ/yr.</v>
      </c>
      <c r="F1604" s="1">
        <f>SUM(F1609:F1611)</f>
        <v>24.437902411301174</v>
      </c>
      <c r="G1604" s="1">
        <f t="shared" ref="G1604:K1604" si="997">SUM(G1609:G1611)</f>
        <v>22.797150147423931</v>
      </c>
      <c r="H1604" s="1">
        <f t="shared" si="997"/>
        <v>20.406773264451409</v>
      </c>
      <c r="I1604" s="1">
        <f t="shared" si="997"/>
        <v>7.9405409479141049</v>
      </c>
      <c r="J1604" s="1">
        <f t="shared" si="997"/>
        <v>2.9105185912452951</v>
      </c>
      <c r="K1604" s="1">
        <f t="shared" si="997"/>
        <v>6.6430338548841938E-4</v>
      </c>
    </row>
    <row r="1605" spans="2:11" x14ac:dyDescent="0.35">
      <c r="B1605" t="str">
        <f t="shared" si="973"/>
        <v>SPS2</v>
      </c>
      <c r="C1605" t="str">
        <f t="shared" si="982"/>
        <v>CH</v>
      </c>
      <c r="D1605" t="s">
        <v>1611</v>
      </c>
      <c r="E1605" t="str">
        <f t="shared" si="988"/>
        <v>PJ/yr.</v>
      </c>
      <c r="F1605" s="1">
        <f>F1604-F1606</f>
        <v>23.84681335461681</v>
      </c>
      <c r="G1605" s="1">
        <f t="shared" ref="G1605:K1605" si="998">G1604-G1606</f>
        <v>22.202997816091294</v>
      </c>
      <c r="H1605" s="1">
        <f t="shared" si="998"/>
        <v>19.491919829330392</v>
      </c>
      <c r="I1605" s="1">
        <f t="shared" si="998"/>
        <v>7.5303845134554512</v>
      </c>
      <c r="J1605" s="1">
        <f t="shared" si="998"/>
        <v>0.27762778867349747</v>
      </c>
      <c r="K1605" s="1">
        <f t="shared" si="998"/>
        <v>-1.522056564749797E-3</v>
      </c>
    </row>
    <row r="1606" spans="2:11" x14ac:dyDescent="0.35">
      <c r="B1606" t="str">
        <f t="shared" si="973"/>
        <v>SPS2</v>
      </c>
      <c r="C1606" t="str">
        <f t="shared" si="982"/>
        <v>CH</v>
      </c>
      <c r="D1606" t="s">
        <v>1612</v>
      </c>
      <c r="E1606" t="str">
        <f t="shared" si="988"/>
        <v>PJ/yr.</v>
      </c>
      <c r="F1606" s="1">
        <f>SUM(F1607:F1608)</f>
        <v>0.59108905668436262</v>
      </c>
      <c r="G1606" s="1">
        <f t="shared" ref="G1606:K1606" si="999">SUM(G1607:G1608)</f>
        <v>0.59415233133263601</v>
      </c>
      <c r="H1606" s="1">
        <f t="shared" si="999"/>
        <v>0.91485343512101747</v>
      </c>
      <c r="I1606" s="1">
        <f t="shared" si="999"/>
        <v>0.4101564344586533</v>
      </c>
      <c r="J1606" s="1">
        <f t="shared" si="999"/>
        <v>2.6328908025717976</v>
      </c>
      <c r="K1606" s="1">
        <f t="shared" si="999"/>
        <v>2.1863599502382164E-3</v>
      </c>
    </row>
    <row r="1607" spans="2:11" x14ac:dyDescent="0.35">
      <c r="B1607" t="str">
        <f t="shared" si="973"/>
        <v>SPS2</v>
      </c>
      <c r="C1607" t="str">
        <f t="shared" si="982"/>
        <v>CH</v>
      </c>
      <c r="D1607" t="s">
        <v>1613</v>
      </c>
      <c r="E1607" t="str">
        <f t="shared" si="988"/>
        <v>PJ/yr.</v>
      </c>
      <c r="F1607" s="1">
        <f>[1]Transport!B$26/SUM([1]Transport!B$22,[1]Transport!B$26)*F1604*(F$33+F$580)/(F$33+F$580+F$36)</f>
        <v>0.59108905668436262</v>
      </c>
      <c r="G1607" s="1">
        <f>[1]Transport!C$26/SUM([1]Transport!C$22,[1]Transport!C$26)*G1604*(G$33+G$580)/(G$33+G$580+G$36)</f>
        <v>0.59415233133263601</v>
      </c>
      <c r="H1607" s="1">
        <f>[1]Transport!D$26/SUM([1]Transport!D$22,[1]Transport!D$26)*H1604*(H$33+H$580)/(H$33+H$580+H$36)</f>
        <v>0.91485343512101747</v>
      </c>
      <c r="I1607" s="1">
        <f>[1]Transport!E$26/SUM([1]Transport!E$22,[1]Transport!E$26)*I1604*(I$33+I$580)/(I$33+I$580+I$36)</f>
        <v>0.4101564344586533</v>
      </c>
      <c r="J1607" s="1">
        <f>[1]Transport!F$26/SUM([1]Transport!F$22,[1]Transport!F$26)*J1604*(J$33+J$580)/(J$33+J$580+J$36)</f>
        <v>0.13086013847407169</v>
      </c>
      <c r="K1607" s="1">
        <f>[1]Transport!G$26/SUM([1]Transport!G$22,[1]Transport!G$26)*K1604*(K$33+K$580)/(K$33+K$580+K$36)</f>
        <v>1.3857511031120857E-4</v>
      </c>
    </row>
    <row r="1608" spans="2:11" x14ac:dyDescent="0.35">
      <c r="B1608" t="str">
        <f t="shared" si="973"/>
        <v>SPS2</v>
      </c>
      <c r="C1608" t="str">
        <f t="shared" si="982"/>
        <v>CH</v>
      </c>
      <c r="D1608" t="s">
        <v>1614</v>
      </c>
      <c r="E1608" t="str">
        <f t="shared" si="988"/>
        <v>PJ/yr.</v>
      </c>
      <c r="F1608" s="1">
        <f>(F$36+F$716)/([1]Transport!B$22+[1]Transport!B$26)*F1604</f>
        <v>0</v>
      </c>
      <c r="G1608" s="1">
        <f>(G$36+G$716)/([1]Transport!C$22+[1]Transport!C$26)*G1604</f>
        <v>0</v>
      </c>
      <c r="H1608" s="1">
        <f>(H$36+H$716)/([1]Transport!D$22+[1]Transport!D$26)*H1604</f>
        <v>0</v>
      </c>
      <c r="I1608" s="1">
        <f>(I$36+I$716)/([1]Transport!E$22+[1]Transport!E$26)*I1604</f>
        <v>0</v>
      </c>
      <c r="J1608" s="1">
        <f>(J$36+J$716)/([1]Transport!F$22+[1]Transport!F$26)*J1604</f>
        <v>2.5020306640977261</v>
      </c>
      <c r="K1608" s="1">
        <f>(K$36+K$716)/([1]Transport!G$22+[1]Transport!G$26)*K1604</f>
        <v>2.0477848399270077E-3</v>
      </c>
    </row>
    <row r="1609" spans="2:11" x14ac:dyDescent="0.35">
      <c r="B1609" t="str">
        <f t="shared" si="973"/>
        <v>SPS2</v>
      </c>
      <c r="C1609" t="str">
        <f t="shared" si="982"/>
        <v>CH</v>
      </c>
      <c r="D1609" t="s">
        <v>1615</v>
      </c>
      <c r="E1609" t="str">
        <f t="shared" si="988"/>
        <v>PJ/yr.</v>
      </c>
      <c r="F1609" s="1" cm="1">
        <f t="array" ref="F1609">SUMPRODUCT(("TFHGV-ICEdslExt"=[1]OUT_TransportEnergyCons!$A$3:$A$1000)*1,("Var_Fin"=[1]OUT_TransportEnergyCons!$B$3:$B$1000)*1,ISNUMBER(SEARCH("dsl",[1]OUT_TransportEnergyCons!$C$3:$C$1000))*1,[1]OUT_TransportEnergyCons!D$3:D$1000)</f>
        <v>19.235069082845179</v>
      </c>
      <c r="G1609" s="1" cm="1">
        <f t="array" ref="G1609">SUMPRODUCT(("TFHGV-ICEdslExt"=[1]OUT_TransportEnergyCons!$A$3:$A$1000)*1,("Var_Fin"=[1]OUT_TransportEnergyCons!$B$3:$B$1000)*1,ISNUMBER(SEARCH("dsl",[1]OUT_TransportEnergyCons!$C$3:$C$1000))*1,[1]OUT_TransportEnergyCons!E$3:E$1000)</f>
        <v>15.561448376962332</v>
      </c>
      <c r="H1609" s="1" cm="1">
        <f t="array" ref="H1609">SUMPRODUCT(("TFHGV-ICEdslExt"=[1]OUT_TransportEnergyCons!$A$3:$A$1000)*1,("Var_Fin"=[1]OUT_TransportEnergyCons!$B$3:$B$1000)*1,ISNUMBER(SEARCH("dsl",[1]OUT_TransportEnergyCons!$C$3:$C$1000))*1,[1]OUT_TransportEnergyCons!F$3:F$1000)</f>
        <v>11.482433547043794</v>
      </c>
      <c r="I1609" s="1" cm="1">
        <f t="array" ref="I1609">SUMPRODUCT(("TFHGV-ICEdslExt"=[1]OUT_TransportEnergyCons!$A$3:$A$1000)*1,("Var_Fin"=[1]OUT_TransportEnergyCons!$B$3:$B$1000)*1,ISNUMBER(SEARCH("dsl",[1]OUT_TransportEnergyCons!$C$3:$C$1000))*1,[1]OUT_TransportEnergyCons!G$3:G$1000)</f>
        <v>4.9517849543061985</v>
      </c>
      <c r="J1609" s="1" cm="1">
        <f t="array" ref="J1609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09" s="1" cm="1">
        <f t="array" ref="K1609">SUMPRODUCT(("TFHGV-ICEdslExt"=[1]OUT_TransportEnergyCons!$A$3:$A$1000)*1,("Var_Fin"=[1]OUT_TransportEnergyCons!$B$3:$B$1000)*1,ISNUMBER(SEARCH("dsl",[1]OUT_TransportEnergyCons!$C$3:$C$1000))*1,[1]OUT_TransportEnergyCons!I$3:I$1000)</f>
        <v>0</v>
      </c>
    </row>
    <row r="1610" spans="2:11" x14ac:dyDescent="0.35">
      <c r="B1610" t="str">
        <f t="shared" si="973"/>
        <v>SPS2</v>
      </c>
      <c r="C1610" t="str">
        <f t="shared" si="982"/>
        <v>CH</v>
      </c>
      <c r="D1610" t="s">
        <v>1616</v>
      </c>
      <c r="E1610" t="str">
        <f t="shared" si="988"/>
        <v>PJ/yr.</v>
      </c>
      <c r="F1610" s="1" cm="1">
        <f t="array" ref="F1610">SUMPRODUCT(("TFHGV-ICEdsl"=[1]OUT_TransportEnergyCons!$A$3:$A$1000)*1,("Var_Fin"=[1]OUT_TransportEnergyCons!$B$3:$B$1000)*1,ISNUMBER(SEARCH("dsl",[1]OUT_TransportEnergyCons!$C$3:$C$1000))*1,[1]OUT_TransportEnergyCons!D$3:D$1000)</f>
        <v>5.2028333284559931</v>
      </c>
      <c r="G1610" s="1" cm="1">
        <f t="array" ref="G1610">SUMPRODUCT(("TFHGV-ICEdsl"=[1]OUT_TransportEnergyCons!$A$3:$A$1000)*1,("Var_Fin"=[1]OUT_TransportEnergyCons!$B$3:$B$1000)*1,ISNUMBER(SEARCH("dsl",[1]OUT_TransportEnergyCons!$C$3:$C$1000))*1,[1]OUT_TransportEnergyCons!E$3:E$1000)</f>
        <v>6.1034200987504734</v>
      </c>
      <c r="H1610" s="1" cm="1">
        <f t="array" ref="H1610">SUMPRODUCT(("TFHGV-ICEdsl"=[1]OUT_TransportEnergyCons!$A$3:$A$1000)*1,("Var_Fin"=[1]OUT_TransportEnergyCons!$B$3:$B$1000)*1,ISNUMBER(SEARCH("dsl",[1]OUT_TransportEnergyCons!$C$3:$C$1000))*1,[1]OUT_TransportEnergyCons!F$3:F$1000)</f>
        <v>4.7838835856967723</v>
      </c>
      <c r="I1610" s="1" cm="1">
        <f t="array" ref="I1610">SUMPRODUCT(("TFHGV-ICEdsl"=[1]OUT_TransportEnergyCons!$A$3:$A$1000)*1,("Var_Fin"=[1]OUT_TransportEnergyCons!$B$3:$B$1000)*1,ISNUMBER(SEARCH("dsl",[1]OUT_TransportEnergyCons!$C$3:$C$1000))*1,[1]OUT_TransportEnergyCons!G$3:G$1000)</f>
        <v>0.44136311279432222</v>
      </c>
      <c r="J1610" s="1" cm="1">
        <f t="array" ref="J1610">SUMPRODUCT(("TFHGV-ICEdsl"=[1]OUT_TransportEnergyCons!$A$3:$A$1000)*1,("Var_Fin"=[1]OUT_TransportEnergyCons!$B$3:$B$1000)*1,ISNUMBER(SEARCH("dsl",[1]OUT_TransportEnergyCons!$C$3:$C$1000))*1,[1]OUT_TransportEnergyCons!H$3:H$1000)</f>
        <v>2.278414129408502E-3</v>
      </c>
      <c r="K1610" s="1" cm="1">
        <f t="array" ref="K1610">SUMPRODUCT(("TFHGV-ICEdsl"=[1]OUT_TransportEnergyCons!$A$3:$A$1000)*1,("Var_Fin"=[1]OUT_TransportEnergyCons!$B$3:$B$1000)*1,ISNUMBER(SEARCH("dsl",[1]OUT_TransportEnergyCons!$C$3:$C$1000))*1,[1]OUT_TransportEnergyCons!I$3:I$1000)</f>
        <v>1.7845727354934E-4</v>
      </c>
    </row>
    <row r="1611" spans="2:11" x14ac:dyDescent="0.35">
      <c r="B1611" t="str">
        <f t="shared" si="973"/>
        <v>SPS2</v>
      </c>
      <c r="C1611" t="str">
        <f t="shared" si="982"/>
        <v>CH</v>
      </c>
      <c r="D1611" t="s">
        <v>1617</v>
      </c>
      <c r="E1611" t="str">
        <f t="shared" si="988"/>
        <v>PJ/yr.</v>
      </c>
      <c r="F1611" s="1" cm="1">
        <f t="array" ref="F1611">SUMPRODUCT(("TFHGV-HYBDSL"=[1]OUT_TransportEnergyCons!$A$3:$A$1000)*1,("Var_Fin"=[1]OUT_TransportEnergyCons!$B$3:$B$1000)*1,ISNUMBER(SEARCH("dsl",[1]OUT_TransportEnergyCons!$C$3:$C$1000))*1,[1]OUT_TransportEnergyCons!D$3:D$1000)</f>
        <v>0</v>
      </c>
      <c r="G1611" s="1" cm="1">
        <f t="array" ref="G1611">SUMPRODUCT(("TFHGV-HYBDSL"=[1]OUT_TransportEnergyCons!$A$3:$A$1000)*1,("Var_Fin"=[1]OUT_TransportEnergyCons!$B$3:$B$1000)*1,ISNUMBER(SEARCH("dsl",[1]OUT_TransportEnergyCons!$C$3:$C$1000))*1,[1]OUT_TransportEnergyCons!E$3:E$1000)</f>
        <v>1.1322816717111266</v>
      </c>
      <c r="H1611" s="1" cm="1">
        <f t="array" ref="H1611">SUMPRODUCT(("TFHGV-HYBDSL"=[1]OUT_TransportEnergyCons!$A$3:$A$1000)*1,("Var_Fin"=[1]OUT_TransportEnergyCons!$B$3:$B$1000)*1,ISNUMBER(SEARCH("dsl",[1]OUT_TransportEnergyCons!$C$3:$C$1000))*1,[1]OUT_TransportEnergyCons!F$3:F$1000)</f>
        <v>4.1404561317108426</v>
      </c>
      <c r="I1611" s="1" cm="1">
        <f t="array" ref="I1611">SUMPRODUCT(("TFHGV-HYBDSL"=[1]OUT_TransportEnergyCons!$A$3:$A$1000)*1,("Var_Fin"=[1]OUT_TransportEnergyCons!$B$3:$B$1000)*1,ISNUMBER(SEARCH("dsl",[1]OUT_TransportEnergyCons!$C$3:$C$1000))*1,[1]OUT_TransportEnergyCons!G$3:G$1000)</f>
        <v>2.5473928808135846</v>
      </c>
      <c r="J1611" s="1" cm="1">
        <f t="array" ref="J1611">SUMPRODUCT(("TFHGV-HYBDSL"=[1]OUT_TransportEnergyCons!$A$3:$A$1000)*1,("Var_Fin"=[1]OUT_TransportEnergyCons!$B$3:$B$1000)*1,ISNUMBER(SEARCH("dsl",[1]OUT_TransportEnergyCons!$C$3:$C$1000))*1,[1]OUT_TransportEnergyCons!H$3:H$1000)</f>
        <v>2.9082401771158866</v>
      </c>
      <c r="K1611" s="1" cm="1">
        <f t="array" ref="K1611">SUMPRODUCT(("TFHGV-HYBDSL"=[1]OUT_TransportEnergyCons!$A$3:$A$1000)*1,("Var_Fin"=[1]OUT_TransportEnergyCons!$B$3:$B$1000)*1,ISNUMBER(SEARCH("dsl",[1]OUT_TransportEnergyCons!$C$3:$C$1000))*1,[1]OUT_TransportEnergyCons!I$3:I$1000)</f>
        <v>4.8584611193907938E-4</v>
      </c>
    </row>
    <row r="1612" spans="2:11" x14ac:dyDescent="0.35">
      <c r="B1612" t="str">
        <f t="shared" si="973"/>
        <v>SPS2</v>
      </c>
      <c r="C1612" t="str">
        <f t="shared" si="982"/>
        <v>CH</v>
      </c>
      <c r="D1612" t="s">
        <v>1618</v>
      </c>
      <c r="E1612" t="str">
        <f t="shared" si="988"/>
        <v>PJ/yr.</v>
      </c>
      <c r="F1612" s="1">
        <f>F1617</f>
        <v>6.1170526023237921E-2</v>
      </c>
      <c r="G1612" s="1">
        <f t="shared" ref="G1612:K1612" si="1000">G1617</f>
        <v>2.3280765927149043E-2</v>
      </c>
      <c r="H1612" s="1">
        <f t="shared" si="1000"/>
        <v>2.429334841237293E-2</v>
      </c>
      <c r="I1612" s="1">
        <f t="shared" si="1000"/>
        <v>1.0957509667769431E-2</v>
      </c>
      <c r="J1612" s="1">
        <f t="shared" si="1000"/>
        <v>8.1209540231816854E-3</v>
      </c>
      <c r="K1612" s="1">
        <f t="shared" si="1000"/>
        <v>6.1845987931272942E-4</v>
      </c>
    </row>
    <row r="1613" spans="2:11" x14ac:dyDescent="0.35">
      <c r="B1613" t="str">
        <f t="shared" si="973"/>
        <v>SPS2</v>
      </c>
      <c r="C1613" t="str">
        <f t="shared" si="982"/>
        <v>CH</v>
      </c>
      <c r="D1613" t="s">
        <v>1619</v>
      </c>
      <c r="E1613" t="str">
        <f t="shared" si="988"/>
        <v>PJ/yr.</v>
      </c>
      <c r="F1613" s="1">
        <f>F1612-F1614</f>
        <v>5.6508163254021609E-2</v>
      </c>
      <c r="G1613" s="1">
        <f t="shared" ref="G1613:K1613" si="1001">G1612-G1614</f>
        <v>2.1039019172315598E-2</v>
      </c>
      <c r="H1613" s="1">
        <f t="shared" si="1001"/>
        <v>2.2004026688736654E-2</v>
      </c>
      <c r="I1613" s="1">
        <f t="shared" si="1001"/>
        <v>9.1399863077831368E-3</v>
      </c>
      <c r="J1613" s="1">
        <f t="shared" si="1001"/>
        <v>-9.5256282185939796</v>
      </c>
      <c r="K1613" s="1">
        <f t="shared" si="1001"/>
        <v>-10.709689422082985</v>
      </c>
    </row>
    <row r="1614" spans="2:11" x14ac:dyDescent="0.35">
      <c r="B1614" t="str">
        <f t="shared" si="973"/>
        <v>SPS2</v>
      </c>
      <c r="C1614" t="str">
        <f t="shared" si="982"/>
        <v>CH</v>
      </c>
      <c r="D1614" t="s">
        <v>1620</v>
      </c>
      <c r="E1614" t="str">
        <f t="shared" si="988"/>
        <v>PJ/yr.</v>
      </c>
      <c r="F1614" s="1">
        <f>SUM(F1615:F1616)</f>
        <v>4.6623627692163102E-3</v>
      </c>
      <c r="G1614" s="1">
        <f t="shared" ref="G1614:K1614" si="1002">SUM(G1615:G1616)</f>
        <v>2.2417467548334438E-3</v>
      </c>
      <c r="H1614" s="1">
        <f t="shared" si="1002"/>
        <v>2.2893217236362772E-3</v>
      </c>
      <c r="I1614" s="1">
        <f t="shared" si="1002"/>
        <v>1.817523359986294E-3</v>
      </c>
      <c r="J1614" s="1">
        <f t="shared" si="1002"/>
        <v>9.5337491726171617</v>
      </c>
      <c r="K1614" s="1">
        <f t="shared" si="1002"/>
        <v>10.710307881962297</v>
      </c>
    </row>
    <row r="1615" spans="2:11" x14ac:dyDescent="0.35">
      <c r="B1615" t="str">
        <f t="shared" si="973"/>
        <v>SPS2</v>
      </c>
      <c r="C1615" t="str">
        <f t="shared" si="982"/>
        <v>CH</v>
      </c>
      <c r="D1615" t="s">
        <v>1621</v>
      </c>
      <c r="E1615" t="str">
        <f t="shared" si="988"/>
        <v>PJ/yr.</v>
      </c>
      <c r="F1615" s="1">
        <f>[1]Transport!B$27/SUM([1]Transport!B$24,[1]Transport!B$27)*F1612*(F$45+F$612)/(F$45+F$612+F$47)</f>
        <v>4.6623627692163102E-3</v>
      </c>
      <c r="G1615" s="1">
        <f>[1]Transport!C$27/SUM([1]Transport!C$24,[1]Transport!C$27)*G1612*(G$45+G$612)/(G$45+G$612+G$47)</f>
        <v>2.2417467548334438E-3</v>
      </c>
      <c r="H1615" s="1">
        <f>[1]Transport!D$27/SUM([1]Transport!D$24,[1]Transport!D$27)*H1612*(H$45+H$612)/(H$45+H$612+H$47)</f>
        <v>2.2893217236362772E-3</v>
      </c>
      <c r="I1615" s="1">
        <f>[1]Transport!E$27/SUM([1]Transport!E$24,[1]Transport!E$27)*I1612*(I$45+I$612)/(I$45+I$612+I$47)</f>
        <v>1.817523359986294E-3</v>
      </c>
      <c r="J1615" s="1">
        <f>[1]Transport!F$27/SUM([1]Transport!F$24,[1]Transport!F$27)*J1612*(J$45+J$612)/(J$45+J$612+J$47)</f>
        <v>2.2486989005709667E-3</v>
      </c>
      <c r="K1615" s="1">
        <f>[1]Transport!G$27/SUM([1]Transport!G$24,[1]Transport!G$27)*K1612*(K$45+K$612)/(K$45+K$612+K$47)</f>
        <v>3.0483535568060399E-4</v>
      </c>
    </row>
    <row r="1616" spans="2:11" x14ac:dyDescent="0.35">
      <c r="B1616" t="str">
        <f t="shared" si="973"/>
        <v>SPS2</v>
      </c>
      <c r="C1616" t="str">
        <f t="shared" si="982"/>
        <v>CH</v>
      </c>
      <c r="D1616" t="s">
        <v>1622</v>
      </c>
      <c r="E1616" t="str">
        <f t="shared" si="988"/>
        <v>PJ/yr.</v>
      </c>
      <c r="F1616" s="1">
        <f>(F$47+F$714)/([1]Transport!B$24+[1]Transport!B$27)*F1612</f>
        <v>0</v>
      </c>
      <c r="G1616" s="1">
        <f>(G$47+G$714)/([1]Transport!C$24+[1]Transport!C$27)*G1612</f>
        <v>0</v>
      </c>
      <c r="H1616" s="1">
        <f>(H$47+H$714)/([1]Transport!D$24+[1]Transport!D$27)*H1612</f>
        <v>0</v>
      </c>
      <c r="I1616" s="1">
        <f>(I$47+I$714)/([1]Transport!E$24+[1]Transport!E$27)*I1612</f>
        <v>0</v>
      </c>
      <c r="J1616" s="1">
        <f>(J$47+J$714)/([1]Transport!F$24+[1]Transport!F$27)*J1612</f>
        <v>9.5315004737165907</v>
      </c>
      <c r="K1616" s="1">
        <f>(K$47+K$714)/([1]Transport!G$24+[1]Transport!G$27)*K1612</f>
        <v>10.710003046606616</v>
      </c>
    </row>
    <row r="1617" spans="2:11" x14ac:dyDescent="0.35">
      <c r="B1617" t="str">
        <f t="shared" si="973"/>
        <v>SPS2</v>
      </c>
      <c r="C1617" t="str">
        <f t="shared" si="982"/>
        <v>CH</v>
      </c>
      <c r="D1617" t="s">
        <v>1623</v>
      </c>
      <c r="E1617" t="str">
        <f t="shared" si="988"/>
        <v>PJ/yr.</v>
      </c>
      <c r="F1617" s="1" cm="1">
        <f t="array" ref="F1617">SUMPRODUCT(("TFHGV-ICENGA"=[1]OUT_TransportEnergyCons!$A$3:$A$1000)*1,("Var_Fin"=[1]OUT_TransportEnergyCons!$B$3:$B$1000)*1,ISNUMBER(SEARCH("nga",[1]OUT_TransportEnergyCons!$C$3:$C$1000))*1,[1]OUT_TransportEnergyCons!D$3:D$1000)</f>
        <v>6.1170526023237921E-2</v>
      </c>
      <c r="G1617" s="1" cm="1">
        <f t="array" ref="G1617">SUMPRODUCT(("TFHGV-ICENGA"=[1]OUT_TransportEnergyCons!$A$3:$A$1000)*1,("Var_Fin"=[1]OUT_TransportEnergyCons!$B$3:$B$1000)*1,ISNUMBER(SEARCH("nga",[1]OUT_TransportEnergyCons!$C$3:$C$1000))*1,[1]OUT_TransportEnergyCons!E$3:E$1000)</f>
        <v>2.3280765927149043E-2</v>
      </c>
      <c r="H1617" s="1" cm="1">
        <f t="array" ref="H1617">SUMPRODUCT(("TFHGV-ICENGA"=[1]OUT_TransportEnergyCons!$A$3:$A$1000)*1,("Var_Fin"=[1]OUT_TransportEnergyCons!$B$3:$B$1000)*1,ISNUMBER(SEARCH("nga",[1]OUT_TransportEnergyCons!$C$3:$C$1000))*1,[1]OUT_TransportEnergyCons!F$3:F$1000)</f>
        <v>2.429334841237293E-2</v>
      </c>
      <c r="I1617" s="1" cm="1">
        <f t="array" ref="I1617">SUMPRODUCT(("TFHGV-ICENGA"=[1]OUT_TransportEnergyCons!$A$3:$A$1000)*1,("Var_Fin"=[1]OUT_TransportEnergyCons!$B$3:$B$1000)*1,ISNUMBER(SEARCH("nga",[1]OUT_TransportEnergyCons!$C$3:$C$1000))*1,[1]OUT_TransportEnergyCons!G$3:G$1000)</f>
        <v>1.0957509667769431E-2</v>
      </c>
      <c r="J1617" s="1" cm="1">
        <f t="array" ref="J1617">SUMPRODUCT(("TFHGV-ICENGA"=[1]OUT_TransportEnergyCons!$A$3:$A$1000)*1,("Var_Fin"=[1]OUT_TransportEnergyCons!$B$3:$B$1000)*1,ISNUMBER(SEARCH("nga",[1]OUT_TransportEnergyCons!$C$3:$C$1000))*1,[1]OUT_TransportEnergyCons!H$3:H$1000)</f>
        <v>8.1209540231816854E-3</v>
      </c>
      <c r="K1617" s="1" cm="1">
        <f t="array" ref="K1617">SUMPRODUCT(("TFHGV-ICENGA"=[1]OUT_TransportEnergyCons!$A$3:$A$1000)*1,("Var_Fin"=[1]OUT_TransportEnergyCons!$B$3:$B$1000)*1,ISNUMBER(SEARCH("nga",[1]OUT_TransportEnergyCons!$C$3:$C$1000))*1,[1]OUT_TransportEnergyCons!I$3:I$1000)</f>
        <v>6.1845987931272942E-4</v>
      </c>
    </row>
    <row r="1618" spans="2:11" x14ac:dyDescent="0.35">
      <c r="B1618" s="2" t="str">
        <f t="shared" si="973"/>
        <v>SPS2</v>
      </c>
      <c r="C1618" s="2" t="str">
        <f t="shared" si="982"/>
        <v>CH</v>
      </c>
      <c r="D1618" s="2" t="s">
        <v>1624</v>
      </c>
      <c r="E1618" s="2" t="s">
        <v>1518</v>
      </c>
      <c r="F1618" s="3">
        <f>SUM(F1619:F1627)</f>
        <v>2.2034595173610079</v>
      </c>
      <c r="G1618" s="3">
        <f t="shared" ref="G1618" si="1003">SUM(G1619:G1627)</f>
        <v>2.2263804615265212</v>
      </c>
      <c r="H1618" s="3">
        <f t="shared" ref="H1618" si="1004">SUM(H1619:H1627)</f>
        <v>2.2551883747263508</v>
      </c>
      <c r="I1618" s="3">
        <f t="shared" ref="I1618" si="1005">SUM(I1619:I1627)</f>
        <v>2.3069051866330161</v>
      </c>
      <c r="J1618" s="3">
        <f t="shared" ref="J1618" si="1006">SUM(J1619:J1627)</f>
        <v>2.512224835891991</v>
      </c>
      <c r="K1618" s="3">
        <f t="shared" ref="K1618" si="1007">SUM(K1619:K1627)</f>
        <v>2.7154058258355382</v>
      </c>
    </row>
    <row r="1619" spans="2:11" x14ac:dyDescent="0.35">
      <c r="B1619" t="str">
        <f t="shared" si="973"/>
        <v>SPS2</v>
      </c>
      <c r="C1619" t="str">
        <f t="shared" si="982"/>
        <v>CH</v>
      </c>
      <c r="D1619" t="s">
        <v>1625</v>
      </c>
      <c r="E1619" t="s">
        <v>1518</v>
      </c>
      <c r="F1619" s="1" cm="1">
        <f t="array" ref="F1619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19" s="1" cm="1">
        <f t="array" ref="G1619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19" s="1" cm="1">
        <f t="array" ref="H1619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19" s="1" cm="1">
        <f t="array" ref="I1619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19" s="1" cm="1">
        <f t="array" ref="J1619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19" s="1" cm="1">
        <f t="array" ref="K1619">SUMPRODUCT(("TFHGV-BeVELCExt"=[1]OUT_TransportEnergyCons!$A$3:$A$1000)*1,("var_fout"=[1]OUT_TransportEnergyCons!$B$3:$B$1000)*1,ISNUMBER(SEARCH("TFHGV",[1]OUT_TransportEnergyCons!$C$3:$C$1000))*1,[1]OUT_TransportEnergyCons!I$3:I$1000)</f>
        <v>0</v>
      </c>
    </row>
    <row r="1620" spans="2:11" x14ac:dyDescent="0.35">
      <c r="B1620" t="str">
        <f t="shared" si="973"/>
        <v>SPS2</v>
      </c>
      <c r="C1620" t="str">
        <f t="shared" si="982"/>
        <v>CH</v>
      </c>
      <c r="D1620" t="s">
        <v>1626</v>
      </c>
      <c r="E1620" t="s">
        <v>1518</v>
      </c>
      <c r="F1620" s="1" cm="1">
        <f t="array" ref="F1620">SUMPRODUCT(("TFHGV-BEVELC"=[1]OUT_TransportEnergyCons!$A$3:$A$1000)*1,("var_fout"=[1]OUT_TransportEnergyCons!$B$3:$B$1000)*1,ISNUMBER(SEARCH("TFHGV",[1]OUT_TransportEnergyCons!$C$3:$C$1000))*1,[1]OUT_TransportEnergyCons!D$3:D$1000)</f>
        <v>2.5806773350793397E-3</v>
      </c>
      <c r="G1620" s="1" cm="1">
        <f t="array" ref="G1620">SUMPRODUCT(("TFHGV-BEVELC"=[1]OUT_TransportEnergyCons!$A$3:$A$1000)*1,("var_fout"=[1]OUT_TransportEnergyCons!$B$3:$B$1000)*1,ISNUMBER(SEARCH("TFHGV",[1]OUT_TransportEnergyCons!$C$3:$C$1000))*1,[1]OUT_TransportEnergyCons!E$3:E$1000)</f>
        <v>6.8152216943386593E-3</v>
      </c>
      <c r="H1620" s="1" cm="1">
        <f t="array" ref="H1620">SUMPRODUCT(("TFHGV-BEVELC"=[1]OUT_TransportEnergyCons!$A$3:$A$1000)*1,("var_fout"=[1]OUT_TransportEnergyCons!$B$3:$B$1000)*1,ISNUMBER(SEARCH("TFHGV",[1]OUT_TransportEnergyCons!$C$3:$C$1000))*1,[1]OUT_TransportEnergyCons!F$3:F$1000)</f>
        <v>7.8444275383233574E-3</v>
      </c>
      <c r="I1620" s="1" cm="1">
        <f t="array" ref="I1620">SUMPRODUCT(("TFHGV-BEVELC"=[1]OUT_TransportEnergyCons!$A$3:$A$1000)*1,("var_fout"=[1]OUT_TransportEnergyCons!$B$3:$B$1000)*1,ISNUMBER(SEARCH("TFHGV",[1]OUT_TransportEnergyCons!$C$3:$C$1000))*1,[1]OUT_TransportEnergyCons!G$3:G$1000)</f>
        <v>1.4056236010438892</v>
      </c>
      <c r="J1620" s="1" cm="1">
        <f t="array" ref="J1620">SUMPRODUCT(("TFHGV-BEVELC"=[1]OUT_TransportEnergyCons!$A$3:$A$1000)*1,("var_fout"=[1]OUT_TransportEnergyCons!$B$3:$B$1000)*1,ISNUMBER(SEARCH("TFHGV",[1]OUT_TransportEnergyCons!$C$3:$C$1000))*1,[1]OUT_TransportEnergyCons!H$3:H$1000)</f>
        <v>2.0354225583963896</v>
      </c>
      <c r="K1620" s="1" cm="1">
        <f t="array" ref="K1620">SUMPRODUCT(("TFHGV-BEVELC"=[1]OUT_TransportEnergyCons!$A$3:$A$1000)*1,("var_fout"=[1]OUT_TransportEnergyCons!$B$3:$B$1000)*1,ISNUMBER(SEARCH("TFHGV",[1]OUT_TransportEnergyCons!$C$3:$C$1000))*1,[1]OUT_TransportEnergyCons!I$3:I$1000)</f>
        <v>2.7150738158860301</v>
      </c>
    </row>
    <row r="1621" spans="2:11" x14ac:dyDescent="0.35">
      <c r="B1621" t="str">
        <f t="shared" si="973"/>
        <v>SPS2</v>
      </c>
      <c r="C1621" t="str">
        <f t="shared" si="982"/>
        <v>CH</v>
      </c>
      <c r="D1621" t="s">
        <v>1627</v>
      </c>
      <c r="E1621" t="s">
        <v>1518</v>
      </c>
      <c r="F1621" s="1" cm="1">
        <f t="array" ref="F1621">SUMPRODUCT(("TFHGV-FCLH2O"=[1]OUT_TransportEnergyCons!$A$3:$A$1000)*1,("var_fout"=[1]OUT_TransportEnergyCons!$B$3:$B$1000)*1,ISNUMBER(SEARCH("TFHGV",[1]OUT_TransportEnergyCons!$C$3:$C$1000))*1,[1]OUT_TransportEnergyCons!D$3:D$1000)</f>
        <v>5.8564330267478557E-4</v>
      </c>
      <c r="G1621" s="1" cm="1">
        <f t="array" ref="G1621">SUMPRODUCT(("TFHGV-FCLH2O"=[1]OUT_TransportEnergyCons!$A$3:$A$1000)*1,("var_fout"=[1]OUT_TransportEnergyCons!$B$3:$B$1000)*1,ISNUMBER(SEARCH("TFHGV",[1]OUT_TransportEnergyCons!$C$3:$C$1000))*1,[1]OUT_TransportEnergyCons!E$3:E$1000)</f>
        <v>4.6504477841306357E-4</v>
      </c>
      <c r="H1621" s="1" cm="1">
        <f t="array" ref="H1621">SUMPRODUCT(("TFHGV-FCLH2O"=[1]OUT_TransportEnergyCons!$A$3:$A$1000)*1,("var_fout"=[1]OUT_TransportEnergyCons!$B$3:$B$1000)*1,ISNUMBER(SEARCH("TFHGV",[1]OUT_TransportEnergyCons!$C$3:$C$1000))*1,[1]OUT_TransportEnergyCons!F$3:F$1000)</f>
        <v>4.6858837250889437E-4</v>
      </c>
      <c r="I1621" s="1" cm="1">
        <f t="array" ref="I1621">SUMPRODUCT(("TFHGV-FCLH2O"=[1]OUT_TransportEnergyCons!$A$3:$A$1000)*1,("var_fout"=[1]OUT_TransportEnergyCons!$B$3:$B$1000)*1,ISNUMBER(SEARCH("TFHGV",[1]OUT_TransportEnergyCons!$C$3:$C$1000))*1,[1]OUT_TransportEnergyCons!G$3:G$1000)</f>
        <v>1.8439585822949521E-4</v>
      </c>
      <c r="J1621" s="1" cm="1">
        <f t="array" ref="J1621">SUMPRODUCT(("TFHGV-FCLH2O"=[1]OUT_TransportEnergyCons!$A$3:$A$1000)*1,("var_fout"=[1]OUT_TransportEnergyCons!$B$3:$B$1000)*1,ISNUMBER(SEARCH("TFHGV",[1]OUT_TransportEnergyCons!$C$3:$C$1000))*1,[1]OUT_TransportEnergyCons!H$3:H$1000)</f>
        <v>1.6887818113830405E-4</v>
      </c>
      <c r="K1621" s="1" cm="1">
        <f t="array" ref="K1621">SUMPRODUCT(("TFHGV-FCLH2O"=[1]OUT_TransportEnergyCons!$A$3:$A$1000)*1,("var_fout"=[1]OUT_TransportEnergyCons!$B$3:$B$1000)*1,ISNUMBER(SEARCH("TFHGV",[1]OUT_TransportEnergyCons!$C$3:$C$1000))*1,[1]OUT_TransportEnergyCons!I$3:I$1000)</f>
        <v>1.5654295565657307E-4</v>
      </c>
    </row>
    <row r="1622" spans="2:11" x14ac:dyDescent="0.35">
      <c r="B1622" t="str">
        <f t="shared" si="973"/>
        <v>SPS2</v>
      </c>
      <c r="C1622" t="str">
        <f t="shared" si="982"/>
        <v>CH</v>
      </c>
      <c r="D1622" t="s">
        <v>1628</v>
      </c>
      <c r="E1622" t="s">
        <v>1518</v>
      </c>
      <c r="F1622" s="1" cm="1">
        <f t="array" ref="F1622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2" s="1" cm="1">
        <f t="array" ref="G1622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2" s="1" cm="1">
        <f t="array" ref="H1622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2" s="1" cm="1">
        <f t="array" ref="I1622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2" s="1" cm="1">
        <f t="array" ref="J1622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2" s="1" cm="1">
        <f t="array" ref="K1622">SUMPRODUCT(("TFHGV-ICEGSLExt"=[1]OUT_TransportEnergyCons!$A$3:$A$1000)*1,("var_fout"=[1]OUT_TransportEnergyCons!$B$3:$B$1000)*1,ISNUMBER(SEARCH("TFHGV",[1]OUT_TransportEnergyCons!$C$3:$C$1000))*1,[1]OUT_TransportEnergyCons!I$3:I$1000)</f>
        <v>0</v>
      </c>
    </row>
    <row r="1623" spans="2:11" x14ac:dyDescent="0.35">
      <c r="B1623" t="str">
        <f t="shared" si="973"/>
        <v>SPS2</v>
      </c>
      <c r="C1623" t="str">
        <f t="shared" si="982"/>
        <v>CH</v>
      </c>
      <c r="D1623" t="s">
        <v>1629</v>
      </c>
      <c r="E1623" t="s">
        <v>1518</v>
      </c>
      <c r="F1623" s="1" cm="1">
        <f t="array" ref="F1623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3" s="1" cm="1">
        <f t="array" ref="G1623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3" s="1" cm="1">
        <f t="array" ref="H1623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3" s="1" cm="1">
        <f t="array" ref="I1623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3" s="1" cm="1">
        <f t="array" ref="K1623">SUMPRODUCT(("TFHGV-ICEGSL"=[1]OUT_TransportEnergyCons!$A$3:$A$1000)*1,("var_fout"=[1]OUT_TransportEnergyCons!$B$3:$B$1000)*1,ISNUMBER(SEARCH("TFHGV",[1]OUT_TransportEnergyCons!$C$3:$C$1000))*1,[1]OUT_TransportEnergyCons!I$3:I$1000)</f>
        <v>0</v>
      </c>
    </row>
    <row r="1624" spans="2:11" x14ac:dyDescent="0.35">
      <c r="B1624" t="str">
        <f t="shared" si="973"/>
        <v>SPS2</v>
      </c>
      <c r="C1624" t="str">
        <f t="shared" si="982"/>
        <v>CH</v>
      </c>
      <c r="D1624" t="s">
        <v>1630</v>
      </c>
      <c r="E1624" t="s">
        <v>1518</v>
      </c>
      <c r="F1624" s="1" cm="1">
        <f t="array" ref="F1624">SUMPRODUCT(("TFHGV-ICEdslExt"=[1]OUT_TransportEnergyCons!$A$3:$A$1000)*1,("var_fout"=[1]OUT_TransportEnergyCons!$B$3:$B$1000)*1,ISNUMBER(SEARCH("TFHGV",[1]OUT_TransportEnergyCons!$C$3:$C$1000))*1,[1]OUT_TransportEnergyCons!D$3:D$1000)</f>
        <v>1.5763843476937038</v>
      </c>
      <c r="G1624" s="1" cm="1">
        <f t="array" ref="G1624">SUMPRODUCT(("TFHGV-ICEdslExt"=[1]OUT_TransportEnergyCons!$A$3:$A$1000)*1,("var_fout"=[1]OUT_TransportEnergyCons!$B$3:$B$1000)*1,ISNUMBER(SEARCH("TFHGV",[1]OUT_TransportEnergyCons!$C$3:$C$1000))*1,[1]OUT_TransportEnergyCons!E$3:E$1000)</f>
        <v>1.3071026953560534</v>
      </c>
      <c r="H1624" s="1" cm="1">
        <f t="array" ref="H1624">SUMPRODUCT(("TFHGV-ICEdslExt"=[1]OUT_TransportEnergyCons!$A$3:$A$1000)*1,("var_fout"=[1]OUT_TransportEnergyCons!$B$3:$B$1000)*1,ISNUMBER(SEARCH("TFHGV",[1]OUT_TransportEnergyCons!$C$3:$C$1000))*1,[1]OUT_TransportEnergyCons!F$3:F$1000)</f>
        <v>0.99966105192701704</v>
      </c>
      <c r="I1624" s="1" cm="1">
        <f t="array" ref="I1624">SUMPRODUCT(("TFHGV-ICEdslExt"=[1]OUT_TransportEnergyCons!$A$3:$A$1000)*1,("var_fout"=[1]OUT_TransportEnergyCons!$B$3:$B$1000)*1,ISNUMBER(SEARCH("TFHGV",[1]OUT_TransportEnergyCons!$C$3:$C$1000))*1,[1]OUT_TransportEnergyCons!G$3:G$1000)</f>
        <v>0.43110256515375439</v>
      </c>
      <c r="J1624" s="1" cm="1">
        <f t="array" ref="J1624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SUMPRODUCT(("TFHGV-ICEdslExt"=[1]OUT_TransportEnergyCons!$A$3:$A$1000)*1,("var_fout"=[1]OUT_TransportEnergyCons!$B$3:$B$1000)*1,ISNUMBER(SEARCH("TFHGV",[1]OUT_TransportEnergyCons!$C$3:$C$1000))*1,[1]OUT_TransportEnergyCons!I$3:I$1000)</f>
        <v>0</v>
      </c>
    </row>
    <row r="1625" spans="2:11" x14ac:dyDescent="0.35">
      <c r="B1625" t="str">
        <f t="shared" si="973"/>
        <v>SPS2</v>
      </c>
      <c r="C1625" t="str">
        <f t="shared" si="982"/>
        <v>CH</v>
      </c>
      <c r="D1625" t="s">
        <v>1631</v>
      </c>
      <c r="E1625" t="s">
        <v>1518</v>
      </c>
      <c r="F1625" s="1" cm="1">
        <f t="array" ref="F1625">SUMPRODUCT(("TFHGV-ICEdsl"=[1]OUT_TransportEnergyCons!$A$3:$A$1000)*1,("var_fout"=[1]OUT_TransportEnergyCons!$B$3:$B$1000)*1,ISNUMBER(SEARCH("TFHGV",[1]OUT_TransportEnergyCons!$C$3:$C$1000))*1,[1]OUT_TransportEnergyCons!D$3:D$1000)</f>
        <v>0.6175946038415463</v>
      </c>
      <c r="G1625" s="1" cm="1">
        <f t="array" ref="G1625">SUMPRODUCT(("TFHGV-ICEdsl"=[1]OUT_TransportEnergyCons!$A$3:$A$1000)*1,("var_fout"=[1]OUT_TransportEnergyCons!$B$3:$B$1000)*1,ISNUMBER(SEARCH("TFHGV",[1]OUT_TransportEnergyCons!$C$3:$C$1000))*1,[1]OUT_TransportEnergyCons!E$3:E$1000)</f>
        <v>0.72449741900245568</v>
      </c>
      <c r="H1625" s="1" cm="1">
        <f t="array" ref="H1625">SUMPRODUCT(("TFHGV-ICEdsl"=[1]OUT_TransportEnergyCons!$A$3:$A$1000)*1,("var_fout"=[1]OUT_TransportEnergyCons!$B$3:$B$1000)*1,ISNUMBER(SEARCH("TFHGV",[1]OUT_TransportEnergyCons!$C$3:$C$1000))*1,[1]OUT_TransportEnergyCons!F$3:F$1000)</f>
        <v>0.56786379678421539</v>
      </c>
      <c r="I1625" s="1" cm="1">
        <f t="array" ref="I1625">SUMPRODUCT(("TFHGV-ICEdsl"=[1]OUT_TransportEnergyCons!$A$3:$A$1000)*1,("var_fout"=[1]OUT_TransportEnergyCons!$B$3:$B$1000)*1,ISNUMBER(SEARCH("TFHGV",[1]OUT_TransportEnergyCons!$C$3:$C$1000))*1,[1]OUT_TransportEnergyCons!G$3:G$1000)</f>
        <v>5.2391352862609243E-2</v>
      </c>
      <c r="J1625" s="1" cm="1">
        <f t="array" ref="J1625">SUMPRODUCT(("TFHGV-ICEdsl"=[1]OUT_TransportEnergyCons!$A$3:$A$1000)*1,("var_fout"=[1]OUT_TransportEnergyCons!$B$3:$B$1000)*1,ISNUMBER(SEARCH("TFHGV",[1]OUT_TransportEnergyCons!$C$3:$C$1000))*1,[1]OUT_TransportEnergyCons!H$3:H$1000)</f>
        <v>2.7045576569653635E-4</v>
      </c>
      <c r="K1625" s="1" cm="1">
        <f t="array" ref="K1625">SUMPRODUCT(("TFHGV-ICEdsl"=[1]OUT_TransportEnergyCons!$A$3:$A$1000)*1,("var_fout"=[1]OUT_TransportEnergyCons!$B$3:$B$1000)*1,ISNUMBER(SEARCH("TFHGV",[1]OUT_TransportEnergyCons!$C$3:$C$1000))*1,[1]OUT_TransportEnergyCons!I$3:I$1000)</f>
        <v>2.1183505640580357E-5</v>
      </c>
    </row>
    <row r="1626" spans="2:11" x14ac:dyDescent="0.35">
      <c r="B1626" t="str">
        <f t="shared" si="973"/>
        <v>SPS2</v>
      </c>
      <c r="C1626" t="str">
        <f t="shared" si="982"/>
        <v>CH</v>
      </c>
      <c r="D1626" t="s">
        <v>1632</v>
      </c>
      <c r="E1626" t="s">
        <v>1518</v>
      </c>
      <c r="F1626" s="1" cm="1">
        <f t="array" ref="F1626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6" s="1" cm="1">
        <f t="array" ref="G1626">SUMPRODUCT(("TFHGV-HYBDSL"=[1]OUT_TransportEnergyCons!$A$3:$A$1000)*1,("var_fout"=[1]OUT_TransportEnergyCons!$B$3:$B$1000)*1,ISNUMBER(SEARCH("TFHGV",[1]OUT_TransportEnergyCons!$C$3:$C$1000))*1,[1]OUT_TransportEnergyCons!E$3:E$1000)</f>
        <v>0.1850905205614726</v>
      </c>
      <c r="H1626" s="1" cm="1">
        <f t="array" ref="H1626">SUMPRODUCT(("TFHGV-HYBDSL"=[1]OUT_TransportEnergyCons!$A$3:$A$1000)*1,("var_fout"=[1]OUT_TransportEnergyCons!$B$3:$B$1000)*1,ISNUMBER(SEARCH("TFHGV",[1]OUT_TransportEnergyCons!$C$3:$C$1000))*1,[1]OUT_TransportEnergyCons!F$3:F$1000)</f>
        <v>0.67682733009549056</v>
      </c>
      <c r="I1626" s="1" cm="1">
        <f t="array" ref="I1626">SUMPRODUCT(("TFHGV-HYBDSL"=[1]OUT_TransportEnergyCons!$A$3:$A$1000)*1,("var_fout"=[1]OUT_TransportEnergyCons!$B$3:$B$1000)*1,ISNUMBER(SEARCH("TFHGV",[1]OUT_TransportEnergyCons!$C$3:$C$1000))*1,[1]OUT_TransportEnergyCons!G$3:G$1000)</f>
        <v>0.41641429528028834</v>
      </c>
      <c r="J1626" s="1" cm="1">
        <f t="array" ref="J1626">SUMPRODUCT(("TFHGV-HYBDSL"=[1]OUT_TransportEnergyCons!$A$3:$A$1000)*1,("var_fout"=[1]OUT_TransportEnergyCons!$B$3:$B$1000)*1,ISNUMBER(SEARCH("TFHGV",[1]OUT_TransportEnergyCons!$C$3:$C$1000))*1,[1]OUT_TransportEnergyCons!H$3:H$1000)</f>
        <v>0.47540086689445177</v>
      </c>
      <c r="K1626" s="1" cm="1">
        <f t="array" ref="K1626">SUMPRODUCT(("TFHGV-HYBDSL"=[1]OUT_TransportEnergyCons!$A$3:$A$1000)*1,("var_fout"=[1]OUT_TransportEnergyCons!$B$3:$B$1000)*1,ISNUMBER(SEARCH("TFHGV",[1]OUT_TransportEnergyCons!$C$3:$C$1000))*1,[1]OUT_TransportEnergyCons!I$3:I$1000)</f>
        <v>7.9419734522130436E-5</v>
      </c>
    </row>
    <row r="1627" spans="2:11" x14ac:dyDescent="0.35">
      <c r="B1627" t="str">
        <f t="shared" si="973"/>
        <v>SPS2</v>
      </c>
      <c r="C1627" t="str">
        <f t="shared" si="982"/>
        <v>CH</v>
      </c>
      <c r="D1627" t="s">
        <v>1633</v>
      </c>
      <c r="E1627" t="s">
        <v>1518</v>
      </c>
      <c r="F1627" s="1" cm="1">
        <f t="array" ref="F1627">SUMPRODUCT(("TFHGV-ICENGA"=[1]OUT_TransportEnergyCons!$A$3:$A$1000)*1,("var_fout"=[1]OUT_TransportEnergyCons!$B$3:$B$1000)*1,ISNUMBER(SEARCH("TFHGV",[1]OUT_TransportEnergyCons!$C$3:$C$1000))*1,[1]OUT_TransportEnergyCons!D$3:D$1000)</f>
        <v>6.314245188003764E-3</v>
      </c>
      <c r="G1627" s="1" cm="1">
        <f t="array" ref="G1627">SUMPRODUCT(("TFHGV-ICENGA"=[1]OUT_TransportEnergyCons!$A$3:$A$1000)*1,("var_fout"=[1]OUT_TransportEnergyCons!$B$3:$B$1000)*1,ISNUMBER(SEARCH("TFHGV",[1]OUT_TransportEnergyCons!$C$3:$C$1000))*1,[1]OUT_TransportEnergyCons!E$3:E$1000)</f>
        <v>2.4095601337873738E-3</v>
      </c>
      <c r="H1627" s="1" cm="1">
        <f t="array" ref="H1627">SUMPRODUCT(("TFHGV-ICENGA"=[1]OUT_TransportEnergyCons!$A$3:$A$1000)*1,("var_fout"=[1]OUT_TransportEnergyCons!$B$3:$B$1000)*1,ISNUMBER(SEARCH("TFHGV",[1]OUT_TransportEnergyCons!$C$3:$C$1000))*1,[1]OUT_TransportEnergyCons!F$3:F$1000)</f>
        <v>2.523180008795636E-3</v>
      </c>
      <c r="I1627" s="1" cm="1">
        <f t="array" ref="I1627">SUMPRODUCT(("TFHGV-ICENGA"=[1]OUT_TransportEnergyCons!$A$3:$A$1000)*1,("var_fout"=[1]OUT_TransportEnergyCons!$B$3:$B$1000)*1,ISNUMBER(SEARCH("TFHGV",[1]OUT_TransportEnergyCons!$C$3:$C$1000))*1,[1]OUT_TransportEnergyCons!G$3:G$1000)</f>
        <v>1.1889764342453873E-3</v>
      </c>
      <c r="J1627" s="1" cm="1">
        <f t="array" ref="J1627">SUMPRODUCT(("TFHGV-ICENGA"=[1]OUT_TransportEnergyCons!$A$3:$A$1000)*1,("var_fout"=[1]OUT_TransportEnergyCons!$B$3:$B$1000)*1,ISNUMBER(SEARCH("TFHGV",[1]OUT_TransportEnergyCons!$C$3:$C$1000))*1,[1]OUT_TransportEnergyCons!H$3:H$1000)</f>
        <v>9.6207665431421844E-4</v>
      </c>
      <c r="K1627" s="1" cm="1">
        <f t="array" ref="K1627">SUMPRODUCT(("TFHGV-ICENGA"=[1]OUT_TransportEnergyCons!$A$3:$A$1000)*1,("var_fout"=[1]OUT_TransportEnergyCons!$B$3:$B$1000)*1,ISNUMBER(SEARCH("TFHGV",[1]OUT_TransportEnergyCons!$C$3:$C$1000))*1,[1]OUT_TransportEnergyCons!I$3:I$1000)</f>
        <v>7.486375368861902E-5</v>
      </c>
    </row>
    <row r="1628" spans="2:11" x14ac:dyDescent="0.35">
      <c r="B1628" s="2" t="str">
        <f t="shared" si="973"/>
        <v>SPS2</v>
      </c>
      <c r="C1628" s="2" t="str">
        <f t="shared" si="982"/>
        <v>CH</v>
      </c>
      <c r="D1628" s="2" t="s">
        <v>1634</v>
      </c>
      <c r="E1628" s="2" t="s">
        <v>1230</v>
      </c>
      <c r="F1628" s="24" t="s">
        <v>292</v>
      </c>
      <c r="G1628" s="24" t="s">
        <v>292</v>
      </c>
      <c r="H1628" s="24" t="s">
        <v>292</v>
      </c>
      <c r="I1628" s="24" t="s">
        <v>292</v>
      </c>
      <c r="J1628" s="24" t="s">
        <v>292</v>
      </c>
      <c r="K1628" s="24" t="s">
        <v>292</v>
      </c>
    </row>
    <row r="1629" spans="2:11" x14ac:dyDescent="0.35">
      <c r="B1629" t="str">
        <f t="shared" si="973"/>
        <v>SPS2</v>
      </c>
      <c r="C1629" t="str">
        <f t="shared" si="982"/>
        <v>CH</v>
      </c>
      <c r="D1629" t="s">
        <v>1635</v>
      </c>
      <c r="E1629" t="str">
        <f>E1628</f>
        <v>km/MJ</v>
      </c>
      <c r="F1629" s="1" t="str">
        <f>IFERROR(F1619/F1593,"-")</f>
        <v>-</v>
      </c>
      <c r="G1629" s="1" t="str">
        <f t="shared" ref="G1629:K1629" si="1008">IFERROR(G1619/G1593,"-")</f>
        <v>-</v>
      </c>
      <c r="H1629" s="1" t="str">
        <f t="shared" si="1008"/>
        <v>-</v>
      </c>
      <c r="I1629" s="1" t="str">
        <f t="shared" si="1008"/>
        <v>-</v>
      </c>
      <c r="J1629" s="1" t="str">
        <f t="shared" si="1008"/>
        <v>-</v>
      </c>
      <c r="K1629" s="1" t="str">
        <f t="shared" si="1008"/>
        <v>-</v>
      </c>
    </row>
    <row r="1630" spans="2:11" x14ac:dyDescent="0.35">
      <c r="B1630" t="str">
        <f t="shared" si="973"/>
        <v>SPS2</v>
      </c>
      <c r="C1630" t="str">
        <f t="shared" si="982"/>
        <v>CH</v>
      </c>
      <c r="D1630" t="s">
        <v>1636</v>
      </c>
      <c r="E1630" t="str">
        <f t="shared" ref="E1630:E1637" si="1009">E1629</f>
        <v>km/MJ</v>
      </c>
      <c r="F1630" s="1">
        <f>IFERROR(F1620/F1594,"-")</f>
        <v>0.26872776416540889</v>
      </c>
      <c r="G1630" s="1">
        <f t="shared" ref="G1630:K1630" si="1010">IFERROR(G1620/G1594,"-")</f>
        <v>0.27045504111517737</v>
      </c>
      <c r="H1630" s="1">
        <f t="shared" si="1010"/>
        <v>0.27256492808367805</v>
      </c>
      <c r="I1630" s="1">
        <f t="shared" si="1010"/>
        <v>0.29265536718404855</v>
      </c>
      <c r="J1630" s="1">
        <f t="shared" si="1010"/>
        <v>0.31173903222529709</v>
      </c>
      <c r="K1630" s="1">
        <f t="shared" si="1010"/>
        <v>0.33817777844915609</v>
      </c>
    </row>
    <row r="1631" spans="2:11" x14ac:dyDescent="0.35">
      <c r="B1631" t="str">
        <f t="shared" si="973"/>
        <v>SPS2</v>
      </c>
      <c r="C1631" t="str">
        <f t="shared" si="982"/>
        <v>CH</v>
      </c>
      <c r="D1631" t="s">
        <v>1637</v>
      </c>
      <c r="E1631" t="str">
        <f t="shared" si="1009"/>
        <v>km/MJ</v>
      </c>
      <c r="F1631" s="1">
        <f>IFERROR(F1621/F1596,"-")</f>
        <v>0.17445873125089911</v>
      </c>
      <c r="G1631" s="1">
        <f t="shared" ref="G1631:K1631" si="1011">IFERROR(G1621/G1596,"-")</f>
        <v>0.17508814965988753</v>
      </c>
      <c r="H1631" s="1">
        <f t="shared" si="1011"/>
        <v>0.17545547324449229</v>
      </c>
      <c r="I1631" s="1">
        <f t="shared" si="1011"/>
        <v>0.17996753468480134</v>
      </c>
      <c r="J1631" s="1">
        <f t="shared" si="1011"/>
        <v>0.19851587341953364</v>
      </c>
      <c r="K1631" s="1">
        <f t="shared" si="1011"/>
        <v>0.21750173409424056</v>
      </c>
    </row>
    <row r="1632" spans="2:11" x14ac:dyDescent="0.35">
      <c r="B1632" t="str">
        <f t="shared" si="973"/>
        <v>SPS2</v>
      </c>
      <c r="C1632" t="str">
        <f t="shared" si="982"/>
        <v>CH</v>
      </c>
      <c r="D1632" t="s">
        <v>1638</v>
      </c>
      <c r="E1632" t="str">
        <f t="shared" si="1009"/>
        <v>km/MJ</v>
      </c>
      <c r="F1632" s="1" t="str">
        <f>IFERROR(F1622/F1602,"-")</f>
        <v>-</v>
      </c>
      <c r="G1632" s="1" t="str">
        <f t="shared" ref="G1632:K1632" si="1012">IFERROR(G1622/G1602,"-")</f>
        <v>-</v>
      </c>
      <c r="H1632" s="1" t="str">
        <f t="shared" si="1012"/>
        <v>-</v>
      </c>
      <c r="I1632" s="1" t="str">
        <f t="shared" si="1012"/>
        <v>-</v>
      </c>
      <c r="J1632" s="1" t="str">
        <f t="shared" si="1012"/>
        <v>-</v>
      </c>
      <c r="K1632" s="1" t="str">
        <f t="shared" si="1012"/>
        <v>-</v>
      </c>
    </row>
    <row r="1633" spans="2:11" x14ac:dyDescent="0.35">
      <c r="B1633" t="str">
        <f t="shared" si="973"/>
        <v>SPS2</v>
      </c>
      <c r="C1633" t="str">
        <f t="shared" si="982"/>
        <v>CH</v>
      </c>
      <c r="D1633" t="s">
        <v>1639</v>
      </c>
      <c r="E1633" t="str">
        <f t="shared" si="1009"/>
        <v>km/MJ</v>
      </c>
      <c r="F1633" s="1" t="str">
        <f>IFERROR(F1623/F1603,"-")</f>
        <v>-</v>
      </c>
      <c r="G1633" s="1" t="str">
        <f t="shared" ref="G1633:K1633" si="1013">IFERROR(G1623/G1603,"-")</f>
        <v>-</v>
      </c>
      <c r="H1633" s="1" t="str">
        <f t="shared" si="1013"/>
        <v>-</v>
      </c>
      <c r="I1633" s="1" t="str">
        <f t="shared" si="1013"/>
        <v>-</v>
      </c>
      <c r="J1633" s="1" t="str">
        <f t="shared" si="1013"/>
        <v>-</v>
      </c>
      <c r="K1633" s="1" t="str">
        <f t="shared" si="1013"/>
        <v>-</v>
      </c>
    </row>
    <row r="1634" spans="2:11" x14ac:dyDescent="0.35">
      <c r="B1634" t="str">
        <f t="shared" si="973"/>
        <v>SPS2</v>
      </c>
      <c r="C1634" t="str">
        <f t="shared" si="982"/>
        <v>CH</v>
      </c>
      <c r="D1634" t="s">
        <v>1640</v>
      </c>
      <c r="E1634" t="str">
        <f t="shared" si="1009"/>
        <v>km/MJ</v>
      </c>
      <c r="F1634" s="1">
        <f>IFERROR(F1624/F1609,"-")</f>
        <v>8.1953661871669817E-2</v>
      </c>
      <c r="G1634" s="1">
        <f t="shared" ref="G1634:K1634" si="1014">IFERROR(G1624/G1609,"-")</f>
        <v>8.3996210615660316E-2</v>
      </c>
      <c r="H1634" s="1">
        <f t="shared" si="1014"/>
        <v>8.7060033731646058E-2</v>
      </c>
      <c r="I1634" s="1">
        <f t="shared" si="1014"/>
        <v>8.7060033731645919E-2</v>
      </c>
      <c r="J1634" s="1" t="str">
        <f t="shared" si="1014"/>
        <v>-</v>
      </c>
      <c r="K1634" s="1" t="str">
        <f t="shared" si="1014"/>
        <v>-</v>
      </c>
    </row>
    <row r="1635" spans="2:11" x14ac:dyDescent="0.35">
      <c r="B1635" t="str">
        <f t="shared" si="973"/>
        <v>SPS2</v>
      </c>
      <c r="C1635" t="str">
        <f t="shared" si="982"/>
        <v>CH</v>
      </c>
      <c r="D1635" t="s">
        <v>1641</v>
      </c>
      <c r="E1635" t="str">
        <f t="shared" si="1009"/>
        <v>km/MJ</v>
      </c>
      <c r="F1635" s="1">
        <f>IFERROR(F1625/F1610,"-")</f>
        <v>0.11870351496053504</v>
      </c>
      <c r="G1635" s="1">
        <f t="shared" ref="G1635:K1635" si="1015">IFERROR(G1625/G1610,"-")</f>
        <v>0.11870351496053481</v>
      </c>
      <c r="H1635" s="1">
        <f t="shared" si="1015"/>
        <v>0.11870351496053516</v>
      </c>
      <c r="I1635" s="1">
        <f t="shared" si="1015"/>
        <v>0.11870351496053527</v>
      </c>
      <c r="J1635" s="1">
        <f t="shared" si="1015"/>
        <v>0.11870351496053495</v>
      </c>
      <c r="K1635" s="1">
        <f t="shared" si="1015"/>
        <v>0.11870351496053494</v>
      </c>
    </row>
    <row r="1636" spans="2:11" x14ac:dyDescent="0.35">
      <c r="B1636" t="str">
        <f t="shared" si="973"/>
        <v>SPS2</v>
      </c>
      <c r="C1636" t="str">
        <f t="shared" si="982"/>
        <v>CH</v>
      </c>
      <c r="D1636" t="s">
        <v>1642</v>
      </c>
      <c r="E1636" t="str">
        <f t="shared" si="1009"/>
        <v>km/MJ</v>
      </c>
      <c r="F1636" s="1" t="str">
        <f>IFERROR(F1626/F1611,"-")</f>
        <v>-</v>
      </c>
      <c r="G1636" s="1">
        <f t="shared" ref="G1636:K1636" si="1016">IFERROR(G1626/G1611,"-")</f>
        <v>0.16346685209675799</v>
      </c>
      <c r="H1636" s="1">
        <f t="shared" si="1016"/>
        <v>0.16346685209675788</v>
      </c>
      <c r="I1636" s="1">
        <f t="shared" si="1016"/>
        <v>0.16346685209675793</v>
      </c>
      <c r="J1636" s="1">
        <f t="shared" si="1016"/>
        <v>0.16346685209675796</v>
      </c>
      <c r="K1636" s="1">
        <f t="shared" si="1016"/>
        <v>0.16346685209675804</v>
      </c>
    </row>
    <row r="1637" spans="2:11" x14ac:dyDescent="0.35">
      <c r="B1637" t="str">
        <f t="shared" si="973"/>
        <v>SPS2</v>
      </c>
      <c r="C1637" t="str">
        <f t="shared" si="982"/>
        <v>CH</v>
      </c>
      <c r="D1637" t="s">
        <v>1643</v>
      </c>
      <c r="E1637" t="str">
        <f t="shared" si="1009"/>
        <v>km/MJ</v>
      </c>
      <c r="F1637" s="1">
        <f>IFERROR(F1627/F1617,"-")</f>
        <v>0.10322365358775991</v>
      </c>
      <c r="G1637" s="1">
        <f t="shared" ref="G1637:K1637" si="1017">IFERROR(G1627/G1617,"-")</f>
        <v>0.10350003695443055</v>
      </c>
      <c r="H1637" s="1">
        <f t="shared" si="1017"/>
        <v>0.1038629984621859</v>
      </c>
      <c r="I1637" s="1">
        <f t="shared" si="1017"/>
        <v>0.10850790647647419</v>
      </c>
      <c r="J1637" s="1">
        <f t="shared" si="1017"/>
        <v>0.11846842767092643</v>
      </c>
      <c r="K1637" s="1">
        <f t="shared" si="1017"/>
        <v>0.12104868269193503</v>
      </c>
    </row>
    <row r="1638" spans="2:11" x14ac:dyDescent="0.35">
      <c r="B1638" s="2" t="str">
        <f t="shared" si="973"/>
        <v>SPS2</v>
      </c>
      <c r="C1638" s="2" t="str">
        <f>C1637</f>
        <v>CH</v>
      </c>
      <c r="D1638" s="2" t="s">
        <v>1652</v>
      </c>
      <c r="E1638" s="2" t="s">
        <v>8</v>
      </c>
      <c r="F1638" s="1">
        <f>F1639+F1643+F1647+F1653</f>
        <v>28.743319363780017</v>
      </c>
      <c r="G1638" s="1">
        <f t="shared" ref="G1638:K1638" si="1018">G1639+G1643+G1647+G1653</f>
        <v>27.950813406385219</v>
      </c>
      <c r="H1638" s="1">
        <f t="shared" si="1018"/>
        <v>27.183106210494394</v>
      </c>
      <c r="I1638" s="1">
        <f t="shared" si="1018"/>
        <v>26.948804179789644</v>
      </c>
      <c r="J1638" s="1">
        <f t="shared" si="1018"/>
        <v>28.080555825865773</v>
      </c>
      <c r="K1638" s="1">
        <f t="shared" si="1018"/>
        <v>28.97322516521109</v>
      </c>
    </row>
    <row r="1639" spans="2:11" x14ac:dyDescent="0.35">
      <c r="B1639" t="str">
        <f t="shared" si="973"/>
        <v>SPS2</v>
      </c>
      <c r="C1639" t="str">
        <f t="shared" ref="C1639:C1682" si="1019">C1638</f>
        <v>CH</v>
      </c>
      <c r="D1639" t="s">
        <v>1653</v>
      </c>
      <c r="E1639" t="s">
        <v>8</v>
      </c>
      <c r="F1639" s="1">
        <f>SUM(F1640:F1642)</f>
        <v>9.2070306872219909</v>
      </c>
      <c r="G1639" s="1">
        <f t="shared" ref="G1639:K1639" si="1020">SUM(G1640:G1642)</f>
        <v>9.4962177519272082</v>
      </c>
      <c r="H1639" s="1">
        <f t="shared" si="1020"/>
        <v>9.9537354567497491</v>
      </c>
      <c r="I1639" s="1">
        <f t="shared" si="1020"/>
        <v>10.60624658519065</v>
      </c>
      <c r="J1639" s="1">
        <f t="shared" si="1020"/>
        <v>11.737177877265017</v>
      </c>
      <c r="K1639" s="1">
        <f t="shared" si="1020"/>
        <v>12.632642082078554</v>
      </c>
    </row>
    <row r="1640" spans="2:11" x14ac:dyDescent="0.35">
      <c r="B1640" t="str">
        <f t="shared" si="973"/>
        <v>SPS2</v>
      </c>
      <c r="C1640" t="str">
        <f t="shared" si="1019"/>
        <v>CH</v>
      </c>
      <c r="D1640" t="s">
        <v>1654</v>
      </c>
      <c r="E1640" t="str">
        <f t="shared" ref="E1640:E1642" si="1021">E1639</f>
        <v>PJ/yr.</v>
      </c>
      <c r="F1640" s="1" cm="1">
        <f t="array" ref="F1640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0" s="1" cm="1">
        <f t="array" ref="G1640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0" s="1" cm="1">
        <f t="array" ref="H1640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0" s="1" cm="1">
        <f t="array" ref="I1640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0" s="1" cm="1">
        <f t="array" ref="J1640">SUMPRODUCT(("TPRLPELCEXT"=[1]OUT_TransportEnergyCons!$A$3:$A$1000)*1,("Var_Fin"=[1]OUT_TransportEnergyCons!$B$3:$B$1000)*1,ISNUMBER(SEARCH("ELC",[1]OUT_TransportEnergyCons!$C$3:$C$1000))*1,[1]OUT_TransportEnergyCons!H$3:H$1000)</f>
        <v>9.7090618290533364</v>
      </c>
      <c r="K1640" s="1" cm="1">
        <f t="array" ref="K1640">SUMPRODUCT(("TPRLPELCEXT"=[1]OUT_TransportEnergyCons!$A$3:$A$1000)*1,("Var_Fin"=[1]OUT_TransportEnergyCons!$B$3:$B$1000)*1,ISNUMBER(SEARCH("ELC",[1]OUT_TransportEnergyCons!$C$3:$C$1000))*1,[1]OUT_TransportEnergyCons!I$3:I$1000)</f>
        <v>10.452296859593746</v>
      </c>
    </row>
    <row r="1641" spans="2:11" x14ac:dyDescent="0.35">
      <c r="B1641" t="str">
        <f t="shared" si="973"/>
        <v>SPS2</v>
      </c>
      <c r="C1641" t="str">
        <f t="shared" si="1019"/>
        <v>CH</v>
      </c>
      <c r="D1641" t="s">
        <v>1655</v>
      </c>
      <c r="E1641" t="str">
        <f t="shared" si="1021"/>
        <v>PJ/yr.</v>
      </c>
      <c r="F1641" s="1" cm="1">
        <f t="array" ref="F1641">SUMPRODUCT(("TFRLFELCEXT"=[1]OUT_TransportEnergyCons!$A$3:$A$1000)*1,("Var_Fin"=[1]OUT_TransportEnergyCons!$B$3:$B$1000)*1,ISNUMBER(SEARCH("ELC",[1]OUT_TransportEnergyCons!$C$3:$C$1000))*1,[1]OUT_TransportEnergyCons!D$3:D$1000)</f>
        <v>1.5023106741210446</v>
      </c>
      <c r="G1641" s="1" cm="1">
        <f t="array" ref="G1641">SUMPRODUCT(("TFRLFELCEXT"=[1]OUT_TransportEnergyCons!$A$3:$A$1000)*1,("Var_Fin"=[1]OUT_TransportEnergyCons!$B$3:$B$1000)*1,ISNUMBER(SEARCH("ELC",[1]OUT_TransportEnergyCons!$C$3:$C$1000))*1,[1]OUT_TransportEnergyCons!E$3:E$1000)</f>
        <v>1.5902269597626142</v>
      </c>
      <c r="H1641" s="1" cm="1">
        <f t="array" ref="H1641">SUMPRODUCT(("TFRLFELCEXT"=[1]OUT_TransportEnergyCons!$A$3:$A$1000)*1,("Var_Fin"=[1]OUT_TransportEnergyCons!$B$3:$B$1000)*1,ISNUMBER(SEARCH("ELC",[1]OUT_TransportEnergyCons!$C$3:$C$1000))*1,[1]OUT_TransportEnergyCons!F$3:F$1000)</f>
        <v>1.7457463731560643</v>
      </c>
      <c r="I1641" s="1" cm="1">
        <f t="array" ref="I1641">SUMPRODUCT(("TFRLFELCEXT"=[1]OUT_TransportEnergyCons!$A$3:$A$1000)*1,("Var_Fin"=[1]OUT_TransportEnergyCons!$B$3:$B$1000)*1,ISNUMBER(SEARCH("ELC",[1]OUT_TransportEnergyCons!$C$3:$C$1000))*1,[1]OUT_TransportEnergyCons!G$3:G$1000)</f>
        <v>1.8943304320871541</v>
      </c>
      <c r="J1641" s="1" cm="1">
        <f t="array" ref="J1641">SUMPRODUCT(("TFRLFELCEXT"=[1]OUT_TransportEnergyCons!$A$3:$A$1000)*1,("Var_Fin"=[1]OUT_TransportEnergyCons!$B$3:$B$1000)*1,ISNUMBER(SEARCH("ELC",[1]OUT_TransportEnergyCons!$C$3:$C$1000))*1,[1]OUT_TransportEnergyCons!H$3:H$1000)</f>
        <v>2.0280090100242822</v>
      </c>
      <c r="K1641" s="1" cm="1">
        <f t="array" ref="K1641">SUMPRODUCT(("TFRLFELCEXT"=[1]OUT_TransportEnergyCons!$A$3:$A$1000)*1,("Var_Fin"=[1]OUT_TransportEnergyCons!$B$3:$B$1000)*1,ISNUMBER(SEARCH("ELC",[1]OUT_TransportEnergyCons!$C$3:$C$1000))*1,[1]OUT_TransportEnergyCons!I$3:I$1000)</f>
        <v>2.1803121637204024</v>
      </c>
    </row>
    <row r="1642" spans="2:11" x14ac:dyDescent="0.35">
      <c r="B1642" t="str">
        <f t="shared" si="973"/>
        <v>SPS2</v>
      </c>
      <c r="C1642" t="str">
        <f t="shared" si="1019"/>
        <v>CH</v>
      </c>
      <c r="D1642" t="s">
        <v>1656</v>
      </c>
      <c r="E1642" t="str">
        <f t="shared" si="1021"/>
        <v>PJ/yr.</v>
      </c>
      <c r="F1642" s="1" cm="1">
        <f t="array" ref="F1642">SUMPRODUCT(("TPSHPELCEXT"=[1]OUT_TransportEnergyCons!$A$3:$A$1000)*1,("Var_Fin"=[1]OUT_TransportEnergyCons!$B$3:$B$1000)*1,ISNUMBER(SEARCH("ELC",[1]OUT_TransportEnergyCons!$C$3:$C$1000))*1,[1]OUT_TransportEnergyCons!D$3:D$1000)</f>
        <v>0</v>
      </c>
      <c r="G1642" s="1" cm="1">
        <f t="array" ref="G1642">SUMPRODUCT(("TPSHPELCEXT"=[1]OUT_TransportEnergyCons!$A$3:$A$1000)*1,("Var_Fin"=[1]OUT_TransportEnergyCons!$B$3:$B$1000)*1,ISNUMBER(SEARCH("ELC",[1]OUT_TransportEnergyCons!$C$3:$C$1000))*1,[1]OUT_TransportEnergyCons!E$3:E$1000)</f>
        <v>8.5355313670370722E-5</v>
      </c>
      <c r="H1642" s="1" cm="1">
        <f t="array" ref="H1642">SUMPRODUCT(("TPSHPELCEXT"=[1]OUT_TransportEnergyCons!$A$3:$A$1000)*1,("Var_Fin"=[1]OUT_TransportEnergyCons!$B$3:$B$1000)*1,ISNUMBER(SEARCH("ELC",[1]OUT_TransportEnergyCons!$C$3:$C$1000))*1,[1]OUT_TransportEnergyCons!F$3:F$1000)</f>
        <v>8.763128933125965E-5</v>
      </c>
      <c r="I1642" s="1" cm="1">
        <f t="array" ref="I1642">SUMPRODUCT(("TPSHPELCEXT"=[1]OUT_TransportEnergyCons!$A$3:$A$1000)*1,("Var_Fin"=[1]OUT_TransportEnergyCons!$B$3:$B$1000)*1,ISNUMBER(SEARCH("ELC",[1]OUT_TransportEnergyCons!$C$3:$C$1000))*1,[1]OUT_TransportEnergyCons!G$3:G$1000)</f>
        <v>1.0615592741601138E-4</v>
      </c>
      <c r="J1642" s="1" cm="1">
        <f t="array" ref="J1642">SUMPRODUCT(("TPSHPELCEXT"=[1]OUT_TransportEnergyCons!$A$3:$A$1000)*1,("Var_Fin"=[1]OUT_TransportEnergyCons!$B$3:$B$1000)*1,ISNUMBER(SEARCH("ELC",[1]OUT_TransportEnergyCons!$C$3:$C$1000))*1,[1]OUT_TransportEnergyCons!H$3:H$1000)</f>
        <v>1.0703818739840069E-4</v>
      </c>
      <c r="K1642" s="1" cm="1">
        <f t="array" ref="K1642">SUMPRODUCT(("TPSHPELCEXT"=[1]OUT_TransportEnergyCons!$A$3:$A$1000)*1,("Var_Fin"=[1]OUT_TransportEnergyCons!$B$3:$B$1000)*1,ISNUMBER(SEARCH("ELC",[1]OUT_TransportEnergyCons!$C$3:$C$1000))*1,[1]OUT_TransportEnergyCons!I$3:I$1000)</f>
        <v>3.3058764405193068E-5</v>
      </c>
    </row>
    <row r="1643" spans="2:11" x14ac:dyDescent="0.35">
      <c r="B1643" t="str">
        <f t="shared" si="973"/>
        <v>SPS2</v>
      </c>
      <c r="C1643" t="str">
        <f t="shared" si="1019"/>
        <v>CH</v>
      </c>
      <c r="D1643" t="s">
        <v>1657</v>
      </c>
      <c r="E1643" t="s">
        <v>8</v>
      </c>
      <c r="F1643" s="1">
        <f>SUM(F1644:F1646)</f>
        <v>0</v>
      </c>
      <c r="G1643" s="1">
        <f t="shared" ref="G1643:K1643" si="1022">SUM(G1644:G1646)</f>
        <v>0</v>
      </c>
      <c r="H1643" s="1">
        <f t="shared" si="1022"/>
        <v>0</v>
      </c>
      <c r="I1643" s="1">
        <f t="shared" si="1022"/>
        <v>0</v>
      </c>
      <c r="J1643" s="1">
        <f t="shared" si="1022"/>
        <v>9.6547813852511898E-4</v>
      </c>
      <c r="K1643" s="1">
        <f t="shared" si="1022"/>
        <v>9.3584863210732826E-4</v>
      </c>
    </row>
    <row r="1644" spans="2:11" x14ac:dyDescent="0.35">
      <c r="B1644" t="str">
        <f t="shared" si="973"/>
        <v>SPS2</v>
      </c>
      <c r="C1644" t="str">
        <f t="shared" si="1019"/>
        <v>CH</v>
      </c>
      <c r="D1644" t="s">
        <v>1658</v>
      </c>
      <c r="E1644" t="str">
        <f t="shared" ref="E1644:E1646" si="1023">E1643</f>
        <v>PJ/yr.</v>
      </c>
      <c r="F1644" s="1" cm="1">
        <f t="array" ref="F1644">SUMPRODUCT(("TPRLPH2OFCL"=[1]OUT_TransportEnergyCons!$A$3:$A$1000)*1,("Var_Fin"=[1]OUT_TransportEnergyCons!$B$3:$B$1000)*1,ISNUMBER(SEARCH("h2",[1]OUT_TransportEnergyCons!$C$3:$C$1000))*1,[1]OUT_TransportEnergyCons!D$3:D$1000)</f>
        <v>0</v>
      </c>
      <c r="G1644" s="1" cm="1">
        <f t="array" ref="G1644">SUMPRODUCT(("TPRLPH2OFCL"=[1]OUT_TransportEnergyCons!$A$3:$A$1000)*1,("Var_Fin"=[1]OUT_TransportEnergyCons!$B$3:$B$1000)*1,ISNUMBER(SEARCH("h2",[1]OUT_TransportEnergyCons!$C$3:$C$1000))*1,[1]OUT_TransportEnergyCons!E$3:E$1000)</f>
        <v>0</v>
      </c>
      <c r="H1644" s="1" cm="1">
        <f t="array" ref="H1644">SUMPRODUCT(("TPRLPH2OFCL"=[1]OUT_TransportEnergyCons!$A$3:$A$1000)*1,("Var_Fin"=[1]OUT_TransportEnergyCons!$B$3:$B$1000)*1,ISNUMBER(SEARCH("h2",[1]OUT_TransportEnergyCons!$C$3:$C$1000))*1,[1]OUT_TransportEnergyCons!F$3:F$1000)</f>
        <v>0</v>
      </c>
      <c r="I1644" s="1" cm="1">
        <f t="array" ref="I1644">SUMPRODUCT(("TPRLPH2OFCL"=[1]OUT_TransportEnergyCons!$A$3:$A$1000)*1,("Var_Fin"=[1]OUT_TransportEnergyCons!$B$3:$B$1000)*1,ISNUMBER(SEARCH("h2",[1]OUT_TransportEnergyCons!$C$3:$C$1000))*1,[1]OUT_TransportEnergyCons!G$3:G$1000)</f>
        <v>0</v>
      </c>
      <c r="J1644" s="1" cm="1">
        <f t="array" ref="J1644">SUMPRODUCT(("TPRLPH2OFCL"=[1]OUT_TransportEnergyCons!$A$3:$A$1000)*1,("Var_Fin"=[1]OUT_TransportEnergyCons!$B$3:$B$1000)*1,ISNUMBER(SEARCH("h2",[1]OUT_TransportEnergyCons!$C$3:$C$1000))*1,[1]OUT_TransportEnergyCons!H$3:H$1000)</f>
        <v>3.5586053187793134E-4</v>
      </c>
      <c r="K1644" s="1" cm="1">
        <f t="array" ref="K1644">SUMPRODUCT(("TPRLPH2OFCL"=[1]OUT_TransportEnergyCons!$A$3:$A$1000)*1,("Var_Fin"=[1]OUT_TransportEnergyCons!$B$3:$B$1000)*1,ISNUMBER(SEARCH("h2",[1]OUT_TransportEnergyCons!$C$3:$C$1000))*1,[1]OUT_TransportEnergyCons!I$3:I$1000)</f>
        <v>3.7070921926897856E-4</v>
      </c>
    </row>
    <row r="1645" spans="2:11" x14ac:dyDescent="0.35">
      <c r="B1645" t="str">
        <f t="shared" si="973"/>
        <v>SPS2</v>
      </c>
      <c r="C1645" t="str">
        <f t="shared" si="1019"/>
        <v>CH</v>
      </c>
      <c r="D1645" t="s">
        <v>1659</v>
      </c>
      <c r="E1645" t="str">
        <f t="shared" si="1023"/>
        <v>PJ/yr.</v>
      </c>
      <c r="F1645" s="1" cm="1">
        <f t="array" ref="F1645">SUMPRODUCT(("TFRLFH2OFCL"=[1]OUT_TransportEnergyCons!$A$3:$A$1000)*1,("Var_Fin"=[1]OUT_TransportEnergyCons!$B$3:$B$1000)*1,ISNUMBER(SEARCH("h2",[1]OUT_TransportEnergyCons!$C$3:$C$1000))*1,[1]OUT_TransportEnergyCons!D$3:D$1000)</f>
        <v>0</v>
      </c>
      <c r="G1645" s="1" cm="1">
        <f t="array" ref="G1645">SUMPRODUCT(("TFRLFH2OFCL"=[1]OUT_TransportEnergyCons!$A$3:$A$1000)*1,("Var_Fin"=[1]OUT_TransportEnergyCons!$B$3:$B$1000)*1,ISNUMBER(SEARCH("h2",[1]OUT_TransportEnergyCons!$C$3:$C$1000))*1,[1]OUT_TransportEnergyCons!E$3:E$1000)</f>
        <v>0</v>
      </c>
      <c r="H1645" s="1" cm="1">
        <f t="array" ref="H1645">SUMPRODUCT(("TFRLFH2OFCL"=[1]OUT_TransportEnergyCons!$A$3:$A$1000)*1,("Var_Fin"=[1]OUT_TransportEnergyCons!$B$3:$B$1000)*1,ISNUMBER(SEARCH("h2",[1]OUT_TransportEnergyCons!$C$3:$C$1000))*1,[1]OUT_TransportEnergyCons!F$3:F$1000)</f>
        <v>0</v>
      </c>
      <c r="I1645" s="1" cm="1">
        <f t="array" ref="I1645">SUMPRODUCT(("TFRLFH2OFCL"=[1]OUT_TransportEnergyCons!$A$3:$A$1000)*1,("Var_Fin"=[1]OUT_TransportEnergyCons!$B$3:$B$1000)*1,ISNUMBER(SEARCH("h2",[1]OUT_TransportEnergyCons!$C$3:$C$1000))*1,[1]OUT_TransportEnergyCons!G$3:G$1000)</f>
        <v>0</v>
      </c>
      <c r="J1645" s="1" cm="1">
        <f t="array" ref="J1645">SUMPRODUCT(("TFRLFH2OFCL"=[1]OUT_TransportEnergyCons!$A$3:$A$1000)*1,("Var_Fin"=[1]OUT_TransportEnergyCons!$B$3:$B$1000)*1,ISNUMBER(SEARCH("h2",[1]OUT_TransportEnergyCons!$C$3:$C$1000))*1,[1]OUT_TransportEnergyCons!H$3:H$1000)</f>
        <v>3.0391380506094109E-4</v>
      </c>
      <c r="K1645" s="1" cm="1">
        <f t="array" ref="K1645">SUMPRODUCT(("TFRLFH2OFCL"=[1]OUT_TransportEnergyCons!$A$3:$A$1000)*1,("Var_Fin"=[1]OUT_TransportEnergyCons!$B$3:$B$1000)*1,ISNUMBER(SEARCH("h2",[1]OUT_TransportEnergyCons!$C$3:$C$1000))*1,[1]OUT_TransportEnergyCons!I$3:I$1000)</f>
        <v>3.9838469985918314E-4</v>
      </c>
    </row>
    <row r="1646" spans="2:11" x14ac:dyDescent="0.35">
      <c r="B1646" t="str">
        <f t="shared" si="973"/>
        <v>SPS2</v>
      </c>
      <c r="C1646" t="str">
        <f t="shared" si="1019"/>
        <v>CH</v>
      </c>
      <c r="D1646" t="s">
        <v>1660</v>
      </c>
      <c r="E1646" t="str">
        <f t="shared" si="1023"/>
        <v>PJ/yr.</v>
      </c>
      <c r="F1646" s="1" cm="1">
        <f t="array" ref="F1646">SUMPRODUCT(("TPSHPH2OEXT"=[1]OUT_TransportEnergyCons!$A$3:$A$1000)*1,("Var_Fin"=[1]OUT_TransportEnergyCons!$B$3:$B$1000)*1,ISNUMBER(SEARCH("h2",[1]OUT_TransportEnergyCons!$C$3:$C$1000))*1,[1]OUT_TransportEnergyCons!D$3:D$1000)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SUMPRODUCT(("TPSHPH2OEXT"=[1]OUT_TransportEnergyCons!$A$3:$A$1000)*1,("Var_Fin"=[1]OUT_TransportEnergyCons!$B$3:$B$1000)*1,ISNUMBER(SEARCH("h2",[1]OUT_TransportEnergyCons!$C$3:$C$1000))*1,[1]OUT_TransportEnergyCons!E$3:E$1000)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SUMPRODUCT(("TPSHPH2OEXT"=[1]OUT_TransportEnergyCons!$A$3:$A$1000)*1,("Var_Fin"=[1]OUT_TransportEnergyCons!$B$3:$B$1000)*1,ISNUMBER(SEARCH("h2",[1]OUT_TransportEnergyCons!$C$3:$C$1000))*1,[1]OUT_TransportEnergyCons!F$3:F$1000)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SUMPRODUCT(("TPSHPH2OEXT"=[1]OUT_TransportEnergyCons!$A$3:$A$1000)*1,("Var_Fin"=[1]OUT_TransportEnergyCons!$B$3:$B$1000)*1,ISNUMBER(SEARCH("h2",[1]OUT_TransportEnergyCons!$C$3:$C$1000))*1,[1]OUT_TransportEnergyCons!G$3:G$1000)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SUMPRODUCT(("TPSHPH2OEXT"=[1]OUT_TransportEnergyCons!$A$3:$A$1000)*1,("Var_Fin"=[1]OUT_TransportEnergyCons!$B$3:$B$1000)*1,ISNUMBER(SEARCH("h2",[1]OUT_TransportEnergyCons!$C$3:$C$1000))*1,[1]OUT_TransportEnergyCons!H$3:H$1000)</f>
        <v>3.0570380158624649E-4</v>
      </c>
      <c r="K1646" s="1" cm="1">
        <f t="array" ref="K1646">SUMPRODUCT(("TPSHPH2OEXT"=[1]OUT_TransportEnergyCons!$A$3:$A$1000)*1,("Var_Fin"=[1]OUT_TransportEnergyCons!$B$3:$B$1000)*1,ISNUMBER(SEARCH("h2",[1]OUT_TransportEnergyCons!$C$3:$C$1000))*1,[1]OUT_TransportEnergyCons!I$3:I$1000)</f>
        <v>1.6675471297916656E-4</v>
      </c>
    </row>
    <row r="1647" spans="2:11" x14ac:dyDescent="0.35">
      <c r="B1647" t="str">
        <f t="shared" si="973"/>
        <v>SPS2</v>
      </c>
      <c r="C1647" t="str">
        <f t="shared" si="1019"/>
        <v>CH</v>
      </c>
      <c r="D1647" t="s">
        <v>1661</v>
      </c>
      <c r="E1647" t="str">
        <f>E1646</f>
        <v>PJ/yr.</v>
      </c>
      <c r="F1647" s="1">
        <f>F1652</f>
        <v>1.759807763728358</v>
      </c>
      <c r="G1647" s="1">
        <f t="shared" ref="G1647:K1647" si="1024">G1652</f>
        <v>0.79636389949169162</v>
      </c>
      <c r="H1647" s="1">
        <f t="shared" si="1024"/>
        <v>7.5268748255046534E-4</v>
      </c>
      <c r="I1647" s="1">
        <f t="shared" si="1024"/>
        <v>4.6673431971165852E-4</v>
      </c>
      <c r="J1647" s="1">
        <f t="shared" si="1024"/>
        <v>6.359986826602232E-4</v>
      </c>
      <c r="K1647" s="1">
        <f t="shared" si="1024"/>
        <v>0</v>
      </c>
    </row>
    <row r="1648" spans="2:11" x14ac:dyDescent="0.35">
      <c r="B1648" t="str">
        <f t="shared" si="973"/>
        <v>SPS2</v>
      </c>
      <c r="C1648" t="str">
        <f t="shared" si="1019"/>
        <v>CH</v>
      </c>
      <c r="D1648" t="s">
        <v>1662</v>
      </c>
      <c r="E1648" t="str">
        <f t="shared" ref="E1648:E1660" si="1025">E1647</f>
        <v>PJ/yr.</v>
      </c>
      <c r="F1648" s="1">
        <f>F1647-F1649</f>
        <v>1.6634752460055835</v>
      </c>
      <c r="G1648" s="1">
        <f t="shared" ref="G1648:K1648" si="1026">G1647-G1649</f>
        <v>0.75276863550116202</v>
      </c>
      <c r="H1648" s="1">
        <f t="shared" si="1026"/>
        <v>7.1148270945058513E-4</v>
      </c>
      <c r="I1648" s="1">
        <f t="shared" si="1026"/>
        <v>4.148351456441955E-4</v>
      </c>
      <c r="J1648" s="1">
        <f t="shared" si="1026"/>
        <v>2.2662195343378167E-4</v>
      </c>
      <c r="K1648" s="1">
        <f t="shared" si="1026"/>
        <v>0</v>
      </c>
    </row>
    <row r="1649" spans="2:11" x14ac:dyDescent="0.35">
      <c r="B1649" t="str">
        <f t="shared" si="973"/>
        <v>SPS2</v>
      </c>
      <c r="C1649" t="str">
        <f t="shared" si="1019"/>
        <v>CH</v>
      </c>
      <c r="D1649" t="s">
        <v>1663</v>
      </c>
      <c r="E1649" t="str">
        <f t="shared" si="1025"/>
        <v>PJ/yr.</v>
      </c>
      <c r="F1649" s="1">
        <f>SUM(F1650:F1651)</f>
        <v>9.6332517722774541E-2</v>
      </c>
      <c r="G1649" s="1">
        <f t="shared" ref="G1649:K1649" si="1027">SUM(G1650:G1651)</f>
        <v>4.359526399052964E-2</v>
      </c>
      <c r="H1649" s="1">
        <f t="shared" si="1027"/>
        <v>4.1204773099880182E-5</v>
      </c>
      <c r="I1649" s="1">
        <f t="shared" si="1027"/>
        <v>5.1899174067462998E-5</v>
      </c>
      <c r="J1649" s="1">
        <f t="shared" si="1027"/>
        <v>4.0937672922644153E-4</v>
      </c>
      <c r="K1649" s="1">
        <f t="shared" si="1027"/>
        <v>0</v>
      </c>
    </row>
    <row r="1650" spans="2:11" x14ac:dyDescent="0.35">
      <c r="B1650" t="str">
        <f t="shared" si="973"/>
        <v>SPS2</v>
      </c>
      <c r="C1650" t="str">
        <f t="shared" si="1019"/>
        <v>CH</v>
      </c>
      <c r="D1650" t="s">
        <v>1664</v>
      </c>
      <c r="E1650" t="str">
        <f t="shared" si="1025"/>
        <v>PJ/yr.</v>
      </c>
      <c r="F1650" s="1">
        <f>[1]Transport!B$25/SUM([1]Transport!B$21,[1]Transport!B$25)*F1647*(F$34+F$598)/(F$34+F$598+F$37)</f>
        <v>9.6332517722774541E-2</v>
      </c>
      <c r="G1650" s="1">
        <f>[1]Transport!C$25/SUM([1]Transport!C$21,[1]Transport!C$25)*G1647*(G$34+G$598)/(G$34+G$598+G$37)</f>
        <v>4.359526399052964E-2</v>
      </c>
      <c r="H1650" s="1">
        <f>[1]Transport!D$25/SUM([1]Transport!D$21,[1]Transport!D$25)*H1647*(H$34+H$598)/(H$34+H$598+H$37)</f>
        <v>4.1204773099880182E-5</v>
      </c>
      <c r="I1650" s="1">
        <f>[1]Transport!E$25/SUM([1]Transport!E$21,[1]Transport!E$25)*I1647*(I$34+I$598)/(I$34+I$598+I$37)</f>
        <v>5.1899174067462998E-5</v>
      </c>
      <c r="J1650" s="1">
        <f>[1]Transport!F$25/SUM([1]Transport!F$21,[1]Transport!F$25)*J1647*(J$34+J$598)/(J$34+J$598+J$37)</f>
        <v>3.4762051701807742E-4</v>
      </c>
      <c r="K1650" s="1">
        <f>[1]Transport!G$25/SUM([1]Transport!G$21,[1]Transport!G$25)*K1647*(K$34+K$598)/(K$34+K$598+K$37)</f>
        <v>0</v>
      </c>
    </row>
    <row r="1651" spans="2:11" x14ac:dyDescent="0.35">
      <c r="B1651" t="str">
        <f t="shared" si="973"/>
        <v>SPS2</v>
      </c>
      <c r="C1651" t="str">
        <f t="shared" si="1019"/>
        <v>CH</v>
      </c>
      <c r="D1651" t="s">
        <v>1665</v>
      </c>
      <c r="E1651" t="str">
        <f t="shared" si="1025"/>
        <v>PJ/yr.</v>
      </c>
      <c r="F1651" s="1">
        <f>(F$37+F$717)/([1]Transport!B$21+[1]Transport!B$25)*F1647</f>
        <v>0</v>
      </c>
      <c r="G1651" s="1">
        <f>(G$37+G$717)/([1]Transport!C$21+[1]Transport!C$25)*G1647</f>
        <v>0</v>
      </c>
      <c r="H1651" s="1">
        <f>(H$37+H$717)/([1]Transport!D$21+[1]Transport!D$25)*H1647</f>
        <v>0</v>
      </c>
      <c r="I1651" s="1">
        <f>(I$37+I$717)/([1]Transport!E$21+[1]Transport!E$25)*I1647</f>
        <v>0</v>
      </c>
      <c r="J1651" s="1">
        <f>(J$37+J$717)/([1]Transport!F$21+[1]Transport!F$25)*J1647</f>
        <v>6.1756212208364131E-5</v>
      </c>
      <c r="K1651" s="1">
        <f>(K$37+K$717)/([1]Transport!G$21+[1]Transport!G$25)*K1647</f>
        <v>0</v>
      </c>
    </row>
    <row r="1652" spans="2:11" x14ac:dyDescent="0.35">
      <c r="B1652" t="str">
        <f t="shared" ref="B1652:B1715" si="1028">B1651</f>
        <v>SPS2</v>
      </c>
      <c r="C1652" t="str">
        <f t="shared" si="1019"/>
        <v>CH</v>
      </c>
      <c r="D1652" t="s">
        <v>1666</v>
      </c>
      <c r="E1652" t="str">
        <f t="shared" si="1025"/>
        <v>PJ/yr.</v>
      </c>
      <c r="F1652" s="1" cm="1">
        <f t="array" ref="F1652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2" s="1" cm="1">
        <f t="array" ref="G1652">SUMPRODUCT(("TPSHPGSLEXT"=[1]OUT_TransportEnergyCons!$A$3:$A$1000)*1,("Var_Fin"=[1]OUT_TransportEnergyCons!$B$3:$B$1000)*1,ISNUMBER(SEARCH("GSL",[1]OUT_TransportEnergyCons!$C$3:$C$1000))*1,[1]OUT_TransportEnergyCons!E$3:E$1000)</f>
        <v>0.79636389949169162</v>
      </c>
      <c r="H1652" s="1" cm="1">
        <f t="array" ref="H1652">SUMPRODUCT(("TPSHPGSLEXT"=[1]OUT_TransportEnergyCons!$A$3:$A$1000)*1,("Var_Fin"=[1]OUT_TransportEnergyCons!$B$3:$B$1000)*1,ISNUMBER(SEARCH("GSL",[1]OUT_TransportEnergyCons!$C$3:$C$1000))*1,[1]OUT_TransportEnergyCons!F$3:F$1000)</f>
        <v>7.5268748255046534E-4</v>
      </c>
      <c r="I1652" s="1" cm="1">
        <f t="array" ref="I1652">SUMPRODUCT(("TPSHPGSLEXT"=[1]OUT_TransportEnergyCons!$A$3:$A$1000)*1,("Var_Fin"=[1]OUT_TransportEnergyCons!$B$3:$B$1000)*1,ISNUMBER(SEARCH("GSL",[1]OUT_TransportEnergyCons!$C$3:$C$1000))*1,[1]OUT_TransportEnergyCons!G$3:G$1000)</f>
        <v>4.6673431971165852E-4</v>
      </c>
      <c r="J1652" s="1" cm="1">
        <f t="array" ref="J1652">SUMPRODUCT(("TPSHPGSLEXT"=[1]OUT_TransportEnergyCons!$A$3:$A$1000)*1,("Var_Fin"=[1]OUT_TransportEnergyCons!$B$3:$B$1000)*1,ISNUMBER(SEARCH("GSL",[1]OUT_TransportEnergyCons!$C$3:$C$1000))*1,[1]OUT_TransportEnergyCons!H$3:H$1000)</f>
        <v>6.359986826602232E-4</v>
      </c>
      <c r="K1652" s="1" cm="1">
        <f t="array" ref="K1652">SUMPRODUCT(("TPSHPGSLEXT"=[1]OUT_TransportEnergyCons!$A$3:$A$1000)*1,("Var_Fin"=[1]OUT_TransportEnergyCons!$B$3:$B$1000)*1,ISNUMBER(SEARCH("GSL",[1]OUT_TransportEnergyCons!$C$3:$C$1000))*1,[1]OUT_TransportEnergyCons!I$3:I$1000)</f>
        <v>0</v>
      </c>
    </row>
    <row r="1653" spans="2:11" x14ac:dyDescent="0.35">
      <c r="B1653" t="str">
        <f t="shared" si="1028"/>
        <v>SPS2</v>
      </c>
      <c r="C1653" t="str">
        <f t="shared" si="1019"/>
        <v>CH</v>
      </c>
      <c r="D1653" t="s">
        <v>1667</v>
      </c>
      <c r="E1653" t="str">
        <f t="shared" si="1025"/>
        <v>PJ/yr.</v>
      </c>
      <c r="F1653" s="1">
        <f>SUM(F1658:F1660)</f>
        <v>17.776480912829669</v>
      </c>
      <c r="G1653" s="1">
        <f t="shared" ref="G1653:K1653" si="1029">SUM(G1658:G1660)</f>
        <v>17.658231754966319</v>
      </c>
      <c r="H1653" s="1">
        <f t="shared" si="1029"/>
        <v>17.228618066262094</v>
      </c>
      <c r="I1653" s="1">
        <f t="shared" si="1029"/>
        <v>16.342090860279281</v>
      </c>
      <c r="J1653" s="1">
        <f t="shared" si="1029"/>
        <v>16.341776471779568</v>
      </c>
      <c r="K1653" s="1">
        <f t="shared" si="1029"/>
        <v>16.339647234500429</v>
      </c>
    </row>
    <row r="1654" spans="2:11" x14ac:dyDescent="0.35">
      <c r="B1654" t="str">
        <f t="shared" si="1028"/>
        <v>SPS2</v>
      </c>
      <c r="C1654" t="str">
        <f t="shared" si="1019"/>
        <v>CH</v>
      </c>
      <c r="D1654" t="s">
        <v>1668</v>
      </c>
      <c r="E1654" t="str">
        <f t="shared" si="1025"/>
        <v>PJ/yr.</v>
      </c>
      <c r="F1654" s="1">
        <f>F1653-F1655</f>
        <v>17.346514250507909</v>
      </c>
      <c r="G1654" s="1">
        <f t="shared" ref="G1654:K1654" si="1030">G1653-G1655</f>
        <v>17.198012846173864</v>
      </c>
      <c r="H1654" s="1">
        <f t="shared" si="1030"/>
        <v>16.456244099243765</v>
      </c>
      <c r="I1654" s="1">
        <f t="shared" si="1030"/>
        <v>15.497965282082717</v>
      </c>
      <c r="J1654" s="1">
        <f t="shared" si="1030"/>
        <v>1.5588051141482584</v>
      </c>
      <c r="K1654" s="1">
        <f t="shared" si="1030"/>
        <v>-37.437514066983169</v>
      </c>
    </row>
    <row r="1655" spans="2:11" x14ac:dyDescent="0.35">
      <c r="B1655" t="str">
        <f t="shared" si="1028"/>
        <v>SPS2</v>
      </c>
      <c r="C1655" t="str">
        <f t="shared" si="1019"/>
        <v>CH</v>
      </c>
      <c r="D1655" t="s">
        <v>1669</v>
      </c>
      <c r="E1655" t="str">
        <f t="shared" si="1025"/>
        <v>PJ/yr.</v>
      </c>
      <c r="F1655" s="1">
        <f>SUM(F1656:F1657)</f>
        <v>0.4299666623217604</v>
      </c>
      <c r="G1655" s="1">
        <f t="shared" ref="G1655:K1655" si="1031">SUM(G1656:G1657)</f>
        <v>0.46021890879245619</v>
      </c>
      <c r="H1655" s="1">
        <f t="shared" si="1031"/>
        <v>0.77237396701832839</v>
      </c>
      <c r="I1655" s="1">
        <f t="shared" si="1031"/>
        <v>0.84412557819656531</v>
      </c>
      <c r="J1655" s="1">
        <f t="shared" si="1031"/>
        <v>14.782971357631309</v>
      </c>
      <c r="K1655" s="1">
        <f t="shared" si="1031"/>
        <v>53.777161301483595</v>
      </c>
    </row>
    <row r="1656" spans="2:11" x14ac:dyDescent="0.35">
      <c r="B1656" t="str">
        <f t="shared" si="1028"/>
        <v>SPS2</v>
      </c>
      <c r="C1656" t="str">
        <f t="shared" si="1019"/>
        <v>CH</v>
      </c>
      <c r="D1656" t="s">
        <v>1670</v>
      </c>
      <c r="E1656" t="str">
        <f t="shared" si="1025"/>
        <v>PJ/yr.</v>
      </c>
      <c r="F1656" s="1">
        <f>[1]Transport!B$26/SUM([1]Transport!B$22,[1]Transport!B$26)*F1653*(F$33+F$580)/(F$33+F$580+F$36)</f>
        <v>0.4299666623217604</v>
      </c>
      <c r="G1656" s="1">
        <f>[1]Transport!C$26/SUM([1]Transport!C$22,[1]Transport!C$26)*G1653*(G$33+G$580)/(G$33+G$580+G$36)</f>
        <v>0.46021890879245619</v>
      </c>
      <c r="H1656" s="1">
        <f>[1]Transport!D$26/SUM([1]Transport!D$22,[1]Transport!D$26)*H1653*(H$33+H$580)/(H$33+H$580+H$36)</f>
        <v>0.77237396701832839</v>
      </c>
      <c r="I1656" s="1">
        <f>[1]Transport!E$26/SUM([1]Transport!E$22,[1]Transport!E$26)*I1653*(I$33+I$580)/(I$33+I$580+I$36)</f>
        <v>0.84412557819656531</v>
      </c>
      <c r="J1656" s="1">
        <f>[1]Transport!F$26/SUM([1]Transport!F$22,[1]Transport!F$26)*J1653*(J$33+J$580)/(J$33+J$580+J$36)</f>
        <v>0.73474436426617251</v>
      </c>
      <c r="K1656" s="1">
        <f>[1]Transport!G$26/SUM([1]Transport!G$22,[1]Transport!G$26)*K1653*(K$33+K$580)/(K$33+K$580+K$36)</f>
        <v>3.4084854411849199</v>
      </c>
    </row>
    <row r="1657" spans="2:11" x14ac:dyDescent="0.35">
      <c r="B1657" t="str">
        <f t="shared" si="1028"/>
        <v>SPS2</v>
      </c>
      <c r="C1657" t="str">
        <f t="shared" si="1019"/>
        <v>CH</v>
      </c>
      <c r="D1657" t="s">
        <v>1671</v>
      </c>
      <c r="E1657" t="str">
        <f t="shared" si="1025"/>
        <v>PJ/yr.</v>
      </c>
      <c r="F1657" s="1">
        <f>(F$36+F$716)/([1]Transport!B$22+[1]Transport!B$26)*F1653</f>
        <v>0</v>
      </c>
      <c r="G1657" s="1">
        <f>(G$36+G$716)/([1]Transport!C$22+[1]Transport!C$26)*G1653</f>
        <v>0</v>
      </c>
      <c r="H1657" s="1">
        <f>(H$36+H$716)/([1]Transport!D$22+[1]Transport!D$26)*H1653</f>
        <v>0</v>
      </c>
      <c r="I1657" s="1">
        <f>(I$36+I$716)/([1]Transport!E$22+[1]Transport!E$26)*I1653</f>
        <v>0</v>
      </c>
      <c r="J1657" s="1">
        <f>(J$36+J$716)/([1]Transport!F$22+[1]Transport!F$26)*J1653</f>
        <v>14.048226993365137</v>
      </c>
      <c r="K1657" s="1">
        <f>(K$36+K$716)/([1]Transport!G$22+[1]Transport!G$26)*K1653</f>
        <v>50.368675860298673</v>
      </c>
    </row>
    <row r="1658" spans="2:11" x14ac:dyDescent="0.35">
      <c r="B1658" t="str">
        <f t="shared" si="1028"/>
        <v>SPS2</v>
      </c>
      <c r="C1658" t="str">
        <f t="shared" si="1019"/>
        <v>CH</v>
      </c>
      <c r="D1658" t="s">
        <v>1672</v>
      </c>
      <c r="E1658" t="str">
        <f t="shared" si="1025"/>
        <v>PJ/yr.</v>
      </c>
      <c r="F1658" s="1" cm="1">
        <f t="array" ref="F1658">SUMPRODUCT(("TPRLPDSLEXT"=[1]OUT_TransportEnergyCons!$A$3:$A$1000)*1,("Var_Fin"=[1]OUT_TransportEnergyCons!$B$3:$B$1000)*1,ISNUMBER(SEARCH("DSL",[1]OUT_TransportEnergyCons!$C$3:$C$1000))*1,[1]OUT_TransportEnergyCons!D$3:D$1000)</f>
        <v>0</v>
      </c>
      <c r="G1658" s="1" cm="1">
        <f t="array" ref="G1658">SUMPRODUCT(("TPRLPDSLEXT"=[1]OUT_TransportEnergyCons!$A$3:$A$1000)*1,("Var_Fin"=[1]OUT_TransportEnergyCons!$B$3:$B$1000)*1,ISNUMBER(SEARCH("DSL",[1]OUT_TransportEnergyCons!$C$3:$C$1000))*1,[1]OUT_TransportEnergyCons!E$3:E$1000)</f>
        <v>0</v>
      </c>
      <c r="H1658" s="1" cm="1">
        <f t="array" ref="H1658">SUMPRODUCT(("TPRLPDSLEXT"=[1]OUT_TransportEnergyCons!$A$3:$A$1000)*1,("Var_Fin"=[1]OUT_TransportEnergyCons!$B$3:$B$1000)*1,ISNUMBER(SEARCH("DSL",[1]OUT_TransportEnergyCons!$C$3:$C$1000))*1,[1]OUT_TransportEnergyCons!F$3:F$1000)</f>
        <v>0</v>
      </c>
      <c r="I1658" s="1" cm="1">
        <f t="array" ref="I1658">SUMPRODUCT(("TPRLPDSLEXT"=[1]OUT_TransportEnergyCons!$A$3:$A$1000)*1,("Var_Fin"=[1]OUT_TransportEnergyCons!$B$3:$B$1000)*1,ISNUMBER(SEARCH("DSL",[1]OUT_TransportEnergyCons!$C$3:$C$1000))*1,[1]OUT_TransportEnergyCons!G$3:G$1000)</f>
        <v>0</v>
      </c>
      <c r="J1658" s="1" cm="1">
        <f t="array" ref="J1658">SUMPRODUCT(("TPRLPDSLEXT"=[1]OUT_TransportEnergyCons!$A$3:$A$1000)*1,("Var_Fin"=[1]OUT_TransportEnergyCons!$B$3:$B$1000)*1,ISNUMBER(SEARCH("DSL",[1]OUT_TransportEnergyCons!$C$3:$C$1000))*1,[1]OUT_TransportEnergyCons!H$3:H$1000)</f>
        <v>0</v>
      </c>
      <c r="K1658" s="1" cm="1">
        <f t="array" ref="K1658">SUMPRODUCT(("TPRLPDSLEXT"=[1]OUT_TransportEnergyCons!$A$3:$A$1000)*1,("Var_Fin"=[1]OUT_TransportEnergyCons!$B$3:$B$1000)*1,ISNUMBER(SEARCH("DSL",[1]OUT_TransportEnergyCons!$C$3:$C$1000))*1,[1]OUT_TransportEnergyCons!I$3:I$1000)</f>
        <v>0</v>
      </c>
    </row>
    <row r="1659" spans="2:11" x14ac:dyDescent="0.35">
      <c r="B1659" t="str">
        <f t="shared" si="1028"/>
        <v>SPS2</v>
      </c>
      <c r="C1659" t="str">
        <f t="shared" si="1019"/>
        <v>CH</v>
      </c>
      <c r="D1659" t="s">
        <v>1673</v>
      </c>
      <c r="E1659" t="str">
        <f t="shared" si="1025"/>
        <v>PJ/yr.</v>
      </c>
      <c r="F1659" s="1" cm="1">
        <f t="array" ref="F1659">SUMPRODUCT(("TFRLFDSLEXT"=[1]OUT_TransportEnergyCons!$A$3:$A$1000)*1,("Var_Fin"=[1]OUT_TransportEnergyCons!$B$3:$B$1000)*1,ISNUMBER(SEARCH("DSL",[1]OUT_TransportEnergyCons!$C$3:$C$1000))*1,[1]OUT_TransportEnergyCons!D$3:D$1000)</f>
        <v>0.3960831064949602</v>
      </c>
      <c r="G1659" s="1" cm="1">
        <f t="array" ref="G1659">SUMPRODUCT(("TFRLFDSLEXT"=[1]OUT_TransportEnergyCons!$A$3:$A$1000)*1,("Var_Fin"=[1]OUT_TransportEnergyCons!$B$3:$B$1000)*1,ISNUMBER(SEARCH("DSL",[1]OUT_TransportEnergyCons!$C$3:$C$1000))*1,[1]OUT_TransportEnergyCons!E$3:E$1000)</f>
        <v>0.27779018367823932</v>
      </c>
      <c r="H1659" s="1" cm="1">
        <f t="array" ref="H1659">SUMPRODUCT(("TFRLFDSLEXT"=[1]OUT_TransportEnergyCons!$A$3:$A$1000)*1,("Var_Fin"=[1]OUT_TransportEnergyCons!$B$3:$B$1000)*1,ISNUMBER(SEARCH("DSL",[1]OUT_TransportEnergyCons!$C$3:$C$1000))*1,[1]OUT_TransportEnergyCons!F$3:F$1000)</f>
        <v>2.9021466161217912E-3</v>
      </c>
      <c r="I1659" s="1" cm="1">
        <f t="array" ref="I1659">SUMPRODUCT(("TFRLFDSLEXT"=[1]OUT_TransportEnergyCons!$A$3:$A$1000)*1,("Var_Fin"=[1]OUT_TransportEnergyCons!$B$3:$B$1000)*1,ISNUMBER(SEARCH("DSL",[1]OUT_TransportEnergyCons!$C$3:$C$1000))*1,[1]OUT_TransportEnergyCons!G$3:G$1000)</f>
        <v>4.1722335934106194E-4</v>
      </c>
      <c r="J1659" s="1" cm="1">
        <f t="array" ref="J1659">SUMPRODUCT(("TFRLFDSLEXT"=[1]OUT_TransportEnergyCons!$A$3:$A$1000)*1,("Var_Fin"=[1]OUT_TransportEnergyCons!$B$3:$B$1000)*1,ISNUMBER(SEARCH("DSL",[1]OUT_TransportEnergyCons!$C$3:$C$1000))*1,[1]OUT_TransportEnergyCons!H$3:H$1000)</f>
        <v>4.3954899093475591E-4</v>
      </c>
      <c r="K1659" s="1" cm="1">
        <f t="array" ref="K1659">SUMPRODUCT(("TFRLFDSLEXT"=[1]OUT_TransportEnergyCons!$A$3:$A$1000)*1,("Var_Fin"=[1]OUT_TransportEnergyCons!$B$3:$B$1000)*1,ISNUMBER(SEARCH("DSL",[1]OUT_TransportEnergyCons!$C$3:$C$1000))*1,[1]OUT_TransportEnergyCons!I$3:I$1000)</f>
        <v>0</v>
      </c>
    </row>
    <row r="1660" spans="2:11" x14ac:dyDescent="0.35">
      <c r="B1660" t="str">
        <f t="shared" si="1028"/>
        <v>SPS2</v>
      </c>
      <c r="C1660" t="str">
        <f t="shared" si="1019"/>
        <v>CH</v>
      </c>
      <c r="D1660" t="s">
        <v>1674</v>
      </c>
      <c r="E1660" t="str">
        <f t="shared" si="1025"/>
        <v>PJ/yr.</v>
      </c>
      <c r="F1660" s="1" cm="1">
        <f t="array" ref="F1660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0" s="1" cm="1">
        <f t="array" ref="G1660">SUMPRODUCT(("TPSHPDSLEXT"=[1]OUT_TransportEnergyCons!$A$3:$A$1000)*1,("Var_Fin"=[1]OUT_TransportEnergyCons!$B$3:$B$1000)*1,ISNUMBER(SEARCH("DSL",[1]OUT_TransportEnergyCons!$C$3:$C$1000))*1,[1]OUT_TransportEnergyCons!E$3:E$1000)</f>
        <v>17.380441571288081</v>
      </c>
      <c r="H1660" s="1" cm="1">
        <f t="array" ref="H1660">SUMPRODUCT(("TPSHPDSLEXT"=[1]OUT_TransportEnergyCons!$A$3:$A$1000)*1,("Var_Fin"=[1]OUT_TransportEnergyCons!$B$3:$B$1000)*1,ISNUMBER(SEARCH("DSL",[1]OUT_TransportEnergyCons!$C$3:$C$1000))*1,[1]OUT_TransportEnergyCons!F$3:F$1000)</f>
        <v>17.225715919645971</v>
      </c>
      <c r="I1660" s="1" cm="1">
        <f t="array" ref="I1660">SUMPRODUCT(("TPSHPDSLEXT"=[1]OUT_TransportEnergyCons!$A$3:$A$1000)*1,("Var_Fin"=[1]OUT_TransportEnergyCons!$B$3:$B$1000)*1,ISNUMBER(SEARCH("DSL",[1]OUT_TransportEnergyCons!$C$3:$C$1000))*1,[1]OUT_TransportEnergyCons!G$3:G$1000)</f>
        <v>16.341673636919939</v>
      </c>
      <c r="J1660" s="1" cm="1">
        <f t="array" ref="J1660">SUMPRODUCT(("TPSHPDSLEXT"=[1]OUT_TransportEnergyCons!$A$3:$A$1000)*1,("Var_Fin"=[1]OUT_TransportEnergyCons!$B$3:$B$1000)*1,ISNUMBER(SEARCH("DSL",[1]OUT_TransportEnergyCons!$C$3:$C$1000))*1,[1]OUT_TransportEnergyCons!H$3:H$1000)</f>
        <v>16.341336922788631</v>
      </c>
      <c r="K1660" s="1" cm="1">
        <f t="array" ref="K1660">SUMPRODUCT(("TPSHPDSLEXT"=[1]OUT_TransportEnergyCons!$A$3:$A$1000)*1,("Var_Fin"=[1]OUT_TransportEnergyCons!$B$3:$B$1000)*1,ISNUMBER(SEARCH("DSL",[1]OUT_TransportEnergyCons!$C$3:$C$1000))*1,[1]OUT_TransportEnergyCons!I$3:I$1000)</f>
        <v>16.339647234500429</v>
      </c>
    </row>
    <row r="1661" spans="2:11" x14ac:dyDescent="0.35">
      <c r="B1661" s="2" t="str">
        <f t="shared" si="1028"/>
        <v>SPS2</v>
      </c>
      <c r="C1661" s="2" t="str">
        <f t="shared" si="1019"/>
        <v>CH</v>
      </c>
      <c r="D1661" s="2" t="s">
        <v>1675</v>
      </c>
      <c r="E1661" s="21" t="s">
        <v>292</v>
      </c>
      <c r="F1661" s="21" t="s">
        <v>292</v>
      </c>
      <c r="G1661" s="21" t="s">
        <v>292</v>
      </c>
      <c r="H1661" s="21" t="s">
        <v>292</v>
      </c>
      <c r="I1661" s="21" t="s">
        <v>292</v>
      </c>
      <c r="J1661" s="21" t="s">
        <v>292</v>
      </c>
      <c r="K1661" s="21" t="s">
        <v>292</v>
      </c>
    </row>
    <row r="1662" spans="2:11" x14ac:dyDescent="0.35">
      <c r="B1662" t="str">
        <f t="shared" si="1028"/>
        <v>SPS2</v>
      </c>
      <c r="C1662" t="str">
        <f t="shared" si="1019"/>
        <v>CH</v>
      </c>
      <c r="D1662" t="s">
        <v>1676</v>
      </c>
      <c r="E1662" t="s">
        <v>1518</v>
      </c>
      <c r="F1662" s="1" cm="1">
        <f t="array" ref="F1662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2" s="1" cm="1">
        <f t="array" ref="G1662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2" s="1" cm="1">
        <f t="array" ref="H1662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2" s="1" cm="1">
        <f t="array" ref="I1662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2" s="1" cm="1">
        <f t="array" ref="J1662">SUMPRODUCT(("TPRLPELCEXT"=[1]OUT_TransportEnergyCons!$A$3:$A$1000)*1,("var_fout"=[1]OUT_TransportEnergyCons!$B$3:$B$1000)*1,ISNUMBER(SEARCH("TPRLP",[1]OUT_TransportEnergyCons!$C$3:$C$1000))*1,[1]OUT_TransportEnergyCons!H$3:H$1000)</f>
        <v>0.24501907180752855</v>
      </c>
      <c r="K1662" s="1" cm="1">
        <f t="array" ref="K1662">SUMPRODUCT(("TPRLPELCEXT"=[1]OUT_TransportEnergyCons!$A$3:$A$1000)*1,("var_fout"=[1]OUT_TransportEnergyCons!$B$3:$B$1000)*1,ISNUMBER(SEARCH("TPRLP",[1]OUT_TransportEnergyCons!$C$3:$C$1000))*1,[1]OUT_TransportEnergyCons!I$3:I$1000)</f>
        <v>0.26339373039824482</v>
      </c>
    </row>
    <row r="1663" spans="2:11" x14ac:dyDescent="0.35">
      <c r="B1663" t="str">
        <f t="shared" si="1028"/>
        <v>SPS2</v>
      </c>
      <c r="C1663" t="str">
        <f t="shared" si="1019"/>
        <v>CH</v>
      </c>
      <c r="D1663" t="s">
        <v>1677</v>
      </c>
      <c r="E1663" t="str">
        <f t="shared" ref="E1663:E1666" si="1032">E1662</f>
        <v>Billion km/yr.</v>
      </c>
      <c r="F1663" s="1" cm="1">
        <f t="array" ref="F1663">SUMPRODUCT(("TFRLFELCEXT"=[1]OUT_TransportEnergyCons!$A$3:$A$1000)*1,("var_fout"=[1]OUT_TransportEnergyCons!$B$3:$B$1000)*1,ISNUMBER(SEARCH("TfRLf",[1]OUT_TransportEnergyCons!$C$3:$C$1000))*1,[1]OUT_TransportEnergyCons!D$3:D$1000)</f>
        <v>2.5094645904068399E-2</v>
      </c>
      <c r="G1663" s="1" cm="1">
        <f t="array" ref="G1663">SUMPRODUCT(("TFRLFELCEXT"=[1]OUT_TransportEnergyCons!$A$3:$A$1000)*1,("var_fout"=[1]OUT_TransportEnergyCons!$B$3:$B$1000)*1,ISNUMBER(SEARCH("TfRLf",[1]OUT_TransportEnergyCons!$C$3:$C$1000))*1,[1]OUT_TransportEnergyCons!E$3:E$1000)</f>
        <v>2.6563202372035279E-2</v>
      </c>
      <c r="H1663" s="1" cm="1">
        <f t="array" ref="H1663">SUMPRODUCT(("TFRLFELCEXT"=[1]OUT_TransportEnergyCons!$A$3:$A$1000)*1,("var_fout"=[1]OUT_TransportEnergyCons!$B$3:$B$1000)*1,ISNUMBER(SEARCH("TfRLf",[1]OUT_TransportEnergyCons!$C$3:$C$1000))*1,[1]OUT_TransportEnergyCons!F$3:F$1000)</f>
        <v>2.9161003664101858E-2</v>
      </c>
      <c r="I1663" s="1" cm="1">
        <f t="array" ref="I1663">SUMPRODUCT(("TFRLFELCEXT"=[1]OUT_TransportEnergyCons!$A$3:$A$1000)*1,("var_fout"=[1]OUT_TransportEnergyCons!$B$3:$B$1000)*1,ISNUMBER(SEARCH("TfRLf",[1]OUT_TransportEnergyCons!$C$3:$C$1000))*1,[1]OUT_TransportEnergyCons!G$3:G$1000)</f>
        <v>3.1642956571776217E-2</v>
      </c>
      <c r="J1663" s="1" cm="1">
        <f t="array" ref="J1663">SUMPRODUCT(("TFRLFELCEXT"=[1]OUT_TransportEnergyCons!$A$3:$A$1000)*1,("var_fout"=[1]OUT_TransportEnergyCons!$B$3:$B$1000)*1,ISNUMBER(SEARCH("TfRLf",[1]OUT_TransportEnergyCons!$C$3:$C$1000))*1,[1]OUT_TransportEnergyCons!H$3:H$1000)</f>
        <v>3.3875927844681769E-2</v>
      </c>
      <c r="K1663" s="1" cm="1">
        <f t="array" ref="K1663">SUMPRODUCT(("TFRLFELCEXT"=[1]OUT_TransportEnergyCons!$A$3:$A$1000)*1,("var_fout"=[1]OUT_TransportEnergyCons!$B$3:$B$1000)*1,ISNUMBER(SEARCH("TfRLf",[1]OUT_TransportEnergyCons!$C$3:$C$1000))*1,[1]OUT_TransportEnergyCons!I$3:I$1000)</f>
        <v>3.6420004631138134E-2</v>
      </c>
    </row>
    <row r="1664" spans="2:11" x14ac:dyDescent="0.35">
      <c r="B1664" t="str">
        <f t="shared" si="1028"/>
        <v>SPS2</v>
      </c>
      <c r="C1664" t="str">
        <f t="shared" si="1019"/>
        <v>CH</v>
      </c>
      <c r="D1664" t="s">
        <v>1678</v>
      </c>
      <c r="E1664" t="s">
        <v>8</v>
      </c>
      <c r="F1664" s="1" cm="1">
        <f t="array" ref="F1664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4" s="1" cm="1">
        <f t="array" ref="G1664">SUMPRODUCT(("TPSHPELCEXT"=[1]OUT_TransportEnergyCons!$A$3:$A$1000)*1,("var_fout"=[1]OUT_TransportEnergyCons!$B$3:$B$1000)*1,ISNUMBER(SEARCH("TPSHP",[1]OUT_TransportEnergyCons!$C$3:$C$1000))*1,[1]OUT_TransportEnergyCons!E$3:E$1000)</f>
        <v>2.10604958730154E-4</v>
      </c>
      <c r="H1664" s="1" cm="1">
        <f t="array" ref="H1664">SUMPRODUCT(("TPSHPELCEXT"=[1]OUT_TransportEnergyCons!$A$3:$A$1000)*1,("var_fout"=[1]OUT_TransportEnergyCons!$B$3:$B$1000)*1,ISNUMBER(SEARCH("TPSHP",[1]OUT_TransportEnergyCons!$C$3:$C$1000))*1,[1]OUT_TransportEnergyCons!F$3:F$1000)</f>
        <v>2.1622068128473901E-4</v>
      </c>
      <c r="I1664" s="1" cm="1">
        <f t="array" ref="I1664">SUMPRODUCT(("TPSHPELCEXT"=[1]OUT_TransportEnergyCons!$A$3:$A$1000)*1,("var_fout"=[1]OUT_TransportEnergyCons!$B$3:$B$1000)*1,ISNUMBER(SEARCH("TPSHP",[1]OUT_TransportEnergyCons!$C$3:$C$1000))*1,[1]OUT_TransportEnergyCons!G$3:G$1000)</f>
        <v>2.6192821221124698E-4</v>
      </c>
      <c r="J1664" s="1" cm="1">
        <f t="array" ref="J1664">SUMPRODUCT(("TPSHPELCEXT"=[1]OUT_TransportEnergyCons!$A$3:$A$1000)*1,("var_fout"=[1]OUT_TransportEnergyCons!$B$3:$B$1000)*1,ISNUMBER(SEARCH("TPSHP",[1]OUT_TransportEnergyCons!$C$3:$C$1000))*1,[1]OUT_TransportEnergyCons!H$3:H$1000)</f>
        <v>2.6410509281996801E-4</v>
      </c>
      <c r="K1664" s="1" cm="1">
        <f t="array" ref="K1664">SUMPRODUCT(("TPSHPELCEXT"=[1]OUT_TransportEnergyCons!$A$3:$A$1000)*1,("var_fout"=[1]OUT_TransportEnergyCons!$B$3:$B$1000)*1,ISNUMBER(SEARCH("TPSHP",[1]OUT_TransportEnergyCons!$C$3:$C$1000))*1,[1]OUT_TransportEnergyCons!I$3:I$1000)</f>
        <v>8.1568907825856605E-5</v>
      </c>
    </row>
    <row r="1665" spans="2:11" x14ac:dyDescent="0.35">
      <c r="B1665" t="str">
        <f t="shared" si="1028"/>
        <v>SPS2</v>
      </c>
      <c r="C1665" t="str">
        <f t="shared" si="1019"/>
        <v>CH</v>
      </c>
      <c r="D1665" t="s">
        <v>1679</v>
      </c>
      <c r="E1665" t="s">
        <v>1518</v>
      </c>
      <c r="F1665" s="1" cm="1">
        <f t="array" ref="F1665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65" s="1" cm="1">
        <f t="array" ref="G1665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65" s="1" cm="1">
        <f t="array" ref="H1665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65" s="1" cm="1">
        <f t="array" ref="I1665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65" s="1" cm="1">
        <f t="array" ref="J1665">SUMPRODUCT(("TPRLPH2OFCL"=[1]OUT_TransportEnergyCons!$A$3:$A$1000)*1,("var_fout"=[1]OUT_TransportEnergyCons!$B$3:$B$1000)*1,ISNUMBER(SEARCH("TPRLP",[1]OUT_TransportEnergyCons!$C$3:$C$1000))*1,[1]OUT_TransportEnergyCons!H$3:H$1000)</f>
        <v>6.3848083137935151E-6</v>
      </c>
      <c r="K1665" s="1" cm="1">
        <f t="array" ref="K1665">SUMPRODUCT(("TPRLPH2OFCL"=[1]OUT_TransportEnergyCons!$A$3:$A$1000)*1,("var_fout"=[1]OUT_TransportEnergyCons!$B$3:$B$1000)*1,ISNUMBER(SEARCH("TPRLP",[1]OUT_TransportEnergyCons!$C$3:$C$1000))*1,[1]OUT_TransportEnergyCons!I$3:I$1000)</f>
        <v>7.1621308015196901E-6</v>
      </c>
    </row>
    <row r="1666" spans="2:11" x14ac:dyDescent="0.35">
      <c r="B1666" t="str">
        <f t="shared" si="1028"/>
        <v>SPS2</v>
      </c>
      <c r="C1666" t="str">
        <f t="shared" si="1019"/>
        <v>CH</v>
      </c>
      <c r="D1666" t="s">
        <v>1680</v>
      </c>
      <c r="E1666" t="str">
        <f t="shared" si="1032"/>
        <v>Billion km/yr.</v>
      </c>
      <c r="F1666" s="1" cm="1">
        <f t="array" ref="F1666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66" s="1" cm="1">
        <f t="array" ref="G1666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66" s="1" cm="1">
        <f t="array" ref="H1666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66" s="1" cm="1">
        <f t="array" ref="I1666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66" s="1" cm="1">
        <f t="array" ref="J1666">SUMPRODUCT(("TFRLFH2OFCL"=[1]OUT_TransportEnergyCons!$A$3:$A$1000)*1,("var_fout"=[1]OUT_TransportEnergyCons!$B$3:$B$1000)*1,ISNUMBER(SEARCH("TfRLf",[1]OUT_TransportEnergyCons!$C$3:$C$1000))*1,[1]OUT_TransportEnergyCons!H$3:H$1000)</f>
        <v>2.2176204367639443E-6</v>
      </c>
      <c r="K1666" s="1" cm="1">
        <f t="array" ref="K1666">SUMPRODUCT(("TFRLFH2OFCL"=[1]OUT_TransportEnergyCons!$A$3:$A$1000)*1,("var_fout"=[1]OUT_TransportEnergyCons!$B$3:$B$1000)*1,ISNUMBER(SEARCH("TfRLf",[1]OUT_TransportEnergyCons!$C$3:$C$1000))*1,[1]OUT_TransportEnergyCons!I$3:I$1000)</f>
        <v>2.3640545780068234E-6</v>
      </c>
    </row>
    <row r="1667" spans="2:11" x14ac:dyDescent="0.35">
      <c r="B1667" t="str">
        <f t="shared" si="1028"/>
        <v>SPS2</v>
      </c>
      <c r="C1667" t="str">
        <f t="shared" si="1019"/>
        <v>CH</v>
      </c>
      <c r="D1667" t="s">
        <v>1681</v>
      </c>
      <c r="E1667" t="s">
        <v>8</v>
      </c>
      <c r="F1667" s="1" cm="1">
        <f t="array" ref="F1667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67" s="1" cm="1">
        <f t="array" ref="G1667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67" s="1" cm="1">
        <f t="array" ref="H1667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67" s="1" cm="1">
        <f t="array" ref="I1667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67" s="1" cm="1">
        <f t="array" ref="J1667">SUMPRODUCT(("TPSHPH2OEXT"=[1]OUT_TransportEnergyCons!$A$3:$A$1000)*1,("var_fout"=[1]OUT_TransportEnergyCons!$B$3:$B$1000)*1,ISNUMBER(SEARCH("TPSHP",[1]OUT_TransportEnergyCons!$C$3:$C$1000))*1,[1]OUT_TransportEnergyCons!H$3:H$1000)</f>
        <v>5.4827312241011899E-4</v>
      </c>
      <c r="K1667" s="1" cm="1">
        <f t="array" ref="K1667">SUMPRODUCT(("TPSHPH2OEXT"=[1]OUT_TransportEnergyCons!$A$3:$A$1000)*1,("var_fout"=[1]OUT_TransportEnergyCons!$B$3:$B$1000)*1,ISNUMBER(SEARCH("TPSHP",[1]OUT_TransportEnergyCons!$C$3:$C$1000))*1,[1]OUT_TransportEnergyCons!I$3:I$1000)</f>
        <v>2.99070952625681E-4</v>
      </c>
    </row>
    <row r="1668" spans="2:11" x14ac:dyDescent="0.35">
      <c r="B1668" t="str">
        <f t="shared" si="1028"/>
        <v>SPS2</v>
      </c>
      <c r="C1668" t="str">
        <f t="shared" si="1019"/>
        <v>CH</v>
      </c>
      <c r="D1668" t="s">
        <v>1682</v>
      </c>
      <c r="E1668" t="s">
        <v>8</v>
      </c>
      <c r="F1668" s="1" cm="1">
        <f t="array" ref="F1668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68" s="1" cm="1">
        <f t="array" ref="G1668">SUMPRODUCT(("TPSHPGSLEXT"=[1]OUT_TransportEnergyCons!$A$3:$A$1000)*1,("var_fout"=[1]OUT_TransportEnergyCons!$B$3:$B$1000)*1,ISNUMBER(SEARCH("TPSHP",[1]OUT_TransportEnergyCons!$C$3:$C$1000))*1,[1]OUT_TransportEnergyCons!E$3:E$1000)</f>
        <v>0.72183400912974205</v>
      </c>
      <c r="H1668" s="1" cm="1">
        <f t="array" ref="H1668">SUMPRODUCT(("TPSHPGSLEXT"=[1]OUT_TransportEnergyCons!$A$3:$A$1000)*1,("var_fout"=[1]OUT_TransportEnergyCons!$B$3:$B$1000)*1,ISNUMBER(SEARCH("TPSHP",[1]OUT_TransportEnergyCons!$C$3:$C$1000))*1,[1]OUT_TransportEnergyCons!F$3:F$1000)</f>
        <v>6.8224516894596296E-4</v>
      </c>
      <c r="I1668" s="1" cm="1">
        <f t="array" ref="I1668">SUMPRODUCT(("TPSHPGSLEXT"=[1]OUT_TransportEnergyCons!$A$3:$A$1000)*1,("var_fout"=[1]OUT_TransportEnergyCons!$B$3:$B$1000)*1,ISNUMBER(SEARCH("TPSHP",[1]OUT_TransportEnergyCons!$C$3:$C$1000))*1,[1]OUT_TransportEnergyCons!G$3:G$1000)</f>
        <v>4.2305371377450798E-4</v>
      </c>
      <c r="J1668" s="1" cm="1">
        <f t="array" ref="J1668">SUMPRODUCT(("TPSHPGSLEXT"=[1]OUT_TransportEnergyCons!$A$3:$A$1000)*1,("var_fout"=[1]OUT_TransportEnergyCons!$B$3:$B$1000)*1,ISNUMBER(SEARCH("TPSHP",[1]OUT_TransportEnergyCons!$C$3:$C$1000))*1,[1]OUT_TransportEnergyCons!H$3:H$1000)</f>
        <v>5.7647700906443805E-4</v>
      </c>
      <c r="K1668" s="1" cm="1">
        <f t="array" ref="K1668">SUMPRODUCT(("TPSHPGSLEXT"=[1]OUT_TransportEnergyCons!$A$3:$A$1000)*1,("var_fout"=[1]OUT_TransportEnergyCons!$B$3:$B$1000)*1,ISNUMBER(SEARCH("TPSHP",[1]OUT_TransportEnergyCons!$C$3:$C$1000))*1,[1]OUT_TransportEnergyCons!I$3:I$1000)</f>
        <v>0</v>
      </c>
    </row>
    <row r="1669" spans="2:11" x14ac:dyDescent="0.35">
      <c r="B1669" t="str">
        <f t="shared" si="1028"/>
        <v>SPS2</v>
      </c>
      <c r="C1669" t="str">
        <f t="shared" si="1019"/>
        <v>CH</v>
      </c>
      <c r="D1669" t="s">
        <v>1683</v>
      </c>
      <c r="E1669" t="s">
        <v>1518</v>
      </c>
      <c r="F1669" s="1" cm="1">
        <f t="array" ref="F1669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69" s="1" cm="1">
        <f t="array" ref="G1669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69" s="1" cm="1">
        <f t="array" ref="H1669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69" s="1" cm="1">
        <f t="array" ref="I1669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69" s="1" cm="1">
        <f t="array" ref="J1669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69" s="1" cm="1">
        <f t="array" ref="K1669">SUMPRODUCT(("TPRLPDSLEXT"=[1]OUT_TransportEnergyCons!$A$3:$A$1000)*1,("var_fout"=[1]OUT_TransportEnergyCons!$B$3:$B$1000)*1,ISNUMBER(SEARCH("TPRLP",[1]OUT_TransportEnergyCons!$C$3:$C$1000))*1,[1]OUT_TransportEnergyCons!I$3:I$1000)</f>
        <v>0</v>
      </c>
    </row>
    <row r="1670" spans="2:11" x14ac:dyDescent="0.35">
      <c r="B1670" t="str">
        <f t="shared" si="1028"/>
        <v>SPS2</v>
      </c>
      <c r="C1670" t="str">
        <f t="shared" si="1019"/>
        <v>CH</v>
      </c>
      <c r="D1670" t="s">
        <v>1684</v>
      </c>
      <c r="E1670" t="str">
        <f t="shared" ref="E1670" si="1033">E1669</f>
        <v>Billion km/yr.</v>
      </c>
      <c r="F1670" s="1" cm="1">
        <f t="array" ref="F1670">SUMPRODUCT(("TFRLFDSLEXT"=[1]OUT_TransportEnergyCons!$A$3:$A$1000)*1,("var_fout"=[1]OUT_TransportEnergyCons!$B$3:$B$1000)*1,ISNUMBER(SEARCH("TfRLf",[1]OUT_TransportEnergyCons!$C$3:$C$1000))*1,[1]OUT_TransportEnergyCons!D$3:D$1000)</f>
        <v>1.6053540959316082E-3</v>
      </c>
      <c r="G1670" s="1" cm="1">
        <f t="array" ref="G1670">SUMPRODUCT(("TFRLFDSLEXT"=[1]OUT_TransportEnergyCons!$A$3:$A$1000)*1,("var_fout"=[1]OUT_TransportEnergyCons!$B$3:$B$1000)*1,ISNUMBER(SEARCH("TfRLf",[1]OUT_TransportEnergyCons!$C$3:$C$1000))*1,[1]OUT_TransportEnergyCons!E$3:E$1000)</f>
        <v>1.1259041394716222E-3</v>
      </c>
      <c r="H1670" s="1" cm="1">
        <f t="array" ref="H1670">SUMPRODUCT(("TFRLFDSLEXT"=[1]OUT_TransportEnergyCons!$A$3:$A$1000)*1,("var_fout"=[1]OUT_TransportEnergyCons!$B$3:$B$1000)*1,ISNUMBER(SEARCH("TfRLf",[1]OUT_TransportEnergyCons!$C$3:$C$1000))*1,[1]OUT_TransportEnergyCons!F$3:F$1000)</f>
        <v>1.1762614665426173E-5</v>
      </c>
      <c r="I1670" s="1" cm="1">
        <f t="array" ref="I1670">SUMPRODUCT(("TFRLFDSLEXT"=[1]OUT_TransportEnergyCons!$A$3:$A$1000)*1,("var_fout"=[1]OUT_TransportEnergyCons!$B$3:$B$1000)*1,ISNUMBER(SEARCH("TfRLf",[1]OUT_TransportEnergyCons!$C$3:$C$1000))*1,[1]OUT_TransportEnergyCons!G$3:G$1000)</f>
        <v>1.6910371027021849E-6</v>
      </c>
      <c r="J1670" s="1" cm="1">
        <f t="array" ref="J1670">SUMPRODUCT(("TFRLFDSLEXT"=[1]OUT_TransportEnergyCons!$A$3:$A$1000)*1,("var_fout"=[1]OUT_TransportEnergyCons!$B$3:$B$1000)*1,ISNUMBER(SEARCH("TfRLf",[1]OUT_TransportEnergyCons!$C$3:$C$1000))*1,[1]OUT_TransportEnergyCons!H$3:H$1000)</f>
        <v>1.7815245371205798E-6</v>
      </c>
      <c r="K1670" s="1" cm="1">
        <f t="array" ref="K1670">SUMPRODUCT(("TFRLFDSLEXT"=[1]OUT_TransportEnergyCons!$A$3:$A$1000)*1,("var_fout"=[1]OUT_TransportEnergyCons!$B$3:$B$1000)*1,ISNUMBER(SEARCH("TfRLf",[1]OUT_TransportEnergyCons!$C$3:$C$1000))*1,[1]OUT_TransportEnergyCons!I$3:I$1000)</f>
        <v>0</v>
      </c>
    </row>
    <row r="1671" spans="2:11" x14ac:dyDescent="0.35">
      <c r="B1671" t="str">
        <f t="shared" si="1028"/>
        <v>SPS2</v>
      </c>
      <c r="C1671" t="str">
        <f t="shared" si="1019"/>
        <v>CH</v>
      </c>
      <c r="D1671" t="s">
        <v>1685</v>
      </c>
      <c r="E1671" t="s">
        <v>8</v>
      </c>
      <c r="F1671" s="1" cm="1">
        <f t="array" ref="F1671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1" s="1" cm="1">
        <f t="array" ref="G1671">SUMPRODUCT(("TPSHPDSLEXT"=[1]OUT_TransportEnergyCons!$A$3:$A$1000)*1,("var_fout"=[1]OUT_TransportEnergyCons!$B$3:$B$1000)*1,ISNUMBER(SEARCH("TPSHP",[1]OUT_TransportEnergyCons!$C$3:$C$1000))*1,[1]OUT_TransportEnergyCons!E$3:E$1000)</f>
        <v>17.176565170588599</v>
      </c>
      <c r="H1671" s="1" cm="1">
        <f t="array" ref="H1671">SUMPRODUCT(("TPSHPDSLEXT"=[1]OUT_TransportEnergyCons!$A$3:$A$1000)*1,("var_fout"=[1]OUT_TransportEnergyCons!$B$3:$B$1000)*1,ISNUMBER(SEARCH("TPSHP",[1]OUT_TransportEnergyCons!$C$3:$C$1000))*1,[1]OUT_TransportEnergyCons!F$3:F$1000)</f>
        <v>17.0236544848565</v>
      </c>
      <c r="I1671" s="1" cm="1">
        <f t="array" ref="I1671">SUMPRODUCT(("TPSHPDSLEXT"=[1]OUT_TransportEnergyCons!$A$3:$A$1000)*1,("var_fout"=[1]OUT_TransportEnergyCons!$B$3:$B$1000)*1,ISNUMBER(SEARCH("TPSHP",[1]OUT_TransportEnergyCons!$C$3:$C$1000))*1,[1]OUT_TransportEnergyCons!G$3:G$1000)</f>
        <v>16.149982212462401</v>
      </c>
      <c r="J1671" s="1" cm="1">
        <f t="array" ref="J1671">SUMPRODUCT(("TPSHPDSLEXT"=[1]OUT_TransportEnergyCons!$A$3:$A$1000)*1,("var_fout"=[1]OUT_TransportEnergyCons!$B$3:$B$1000)*1,ISNUMBER(SEARCH("TPSHP",[1]OUT_TransportEnergyCons!$C$3:$C$1000))*1,[1]OUT_TransportEnergyCons!H$3:H$1000)</f>
        <v>16.149649448061702</v>
      </c>
      <c r="K1671" s="1" cm="1">
        <f t="array" ref="K1671">SUMPRODUCT(("TPSHPDSLEXT"=[1]OUT_TransportEnergyCons!$A$3:$A$1000)*1,("var_fout"=[1]OUT_TransportEnergyCons!$B$3:$B$1000)*1,ISNUMBER(SEARCH("TPSHP",[1]OUT_TransportEnergyCons!$C$3:$C$1000))*1,[1]OUT_TransportEnergyCons!I$3:I$1000)</f>
        <v>16.1479795801887</v>
      </c>
    </row>
    <row r="1672" spans="2:11" x14ac:dyDescent="0.35">
      <c r="B1672" s="2" t="str">
        <f t="shared" si="1028"/>
        <v>SPS2</v>
      </c>
      <c r="C1672" s="2" t="str">
        <f t="shared" si="1019"/>
        <v>CH</v>
      </c>
      <c r="D1672" s="2" t="s">
        <v>1686</v>
      </c>
      <c r="E1672" s="21" t="s">
        <v>292</v>
      </c>
      <c r="F1672" s="21" t="s">
        <v>292</v>
      </c>
      <c r="G1672" s="21" t="s">
        <v>292</v>
      </c>
      <c r="H1672" s="21" t="s">
        <v>292</v>
      </c>
      <c r="I1672" s="21" t="s">
        <v>292</v>
      </c>
      <c r="J1672" s="21" t="s">
        <v>292</v>
      </c>
      <c r="K1672" s="21" t="s">
        <v>292</v>
      </c>
    </row>
    <row r="1673" spans="2:11" x14ac:dyDescent="0.35">
      <c r="B1673" t="str">
        <f t="shared" si="1028"/>
        <v>SPS2</v>
      </c>
      <c r="C1673" t="str">
        <f t="shared" si="1019"/>
        <v>CH</v>
      </c>
      <c r="D1673" t="s">
        <v>1687</v>
      </c>
      <c r="E1673" t="s">
        <v>1230</v>
      </c>
      <c r="F1673" s="7">
        <f>IFERROR(F1662/F1640,"-")</f>
        <v>2.5309161094553195E-2</v>
      </c>
      <c r="G1673" s="7">
        <f t="shared" ref="G1673:K1673" si="1034">IFERROR(G1662/G1640,"-")</f>
        <v>2.5301857215832019E-2</v>
      </c>
      <c r="H1673" s="7">
        <f t="shared" si="1034"/>
        <v>2.5290901397750198E-2</v>
      </c>
      <c r="I1673" s="7">
        <f t="shared" si="1034"/>
        <v>2.5272641700947188E-2</v>
      </c>
      <c r="J1673" s="7">
        <f t="shared" si="1034"/>
        <v>2.523612230734127E-2</v>
      </c>
      <c r="K1673" s="7">
        <f t="shared" si="1034"/>
        <v>2.5199602913735294E-2</v>
      </c>
    </row>
    <row r="1674" spans="2:11" x14ac:dyDescent="0.35">
      <c r="B1674" t="str">
        <f t="shared" si="1028"/>
        <v>SPS2</v>
      </c>
      <c r="C1674" t="str">
        <f t="shared" si="1019"/>
        <v>CH</v>
      </c>
      <c r="D1674" t="s">
        <v>1688</v>
      </c>
      <c r="E1674" t="s">
        <v>1230</v>
      </c>
      <c r="F1674" s="7">
        <f>IFERROR(F1663/F1641,"-")</f>
        <v>1.6704032219401289E-2</v>
      </c>
      <c r="G1674" s="7">
        <f t="shared" ref="G1674:K1674" si="1035">IFERROR(G1663/G1641,"-")</f>
        <v>1.6704032219401296E-2</v>
      </c>
      <c r="H1674" s="7">
        <f t="shared" si="1035"/>
        <v>1.6704032219401296E-2</v>
      </c>
      <c r="I1674" s="7">
        <f t="shared" si="1035"/>
        <v>1.6704032219401303E-2</v>
      </c>
      <c r="J1674" s="7">
        <f t="shared" si="1035"/>
        <v>1.6704032219401314E-2</v>
      </c>
      <c r="K1674" s="7">
        <f t="shared" si="1035"/>
        <v>1.6704032219401286E-2</v>
      </c>
    </row>
    <row r="1675" spans="2:11" x14ac:dyDescent="0.35">
      <c r="B1675" t="str">
        <f t="shared" si="1028"/>
        <v>SPS2</v>
      </c>
      <c r="C1675" t="str">
        <f t="shared" si="1019"/>
        <v>CH</v>
      </c>
      <c r="D1675" t="s">
        <v>1689</v>
      </c>
      <c r="E1675" t="s">
        <v>240</v>
      </c>
      <c r="F1675" t="str">
        <f>IFERROR(F1664/F1642,"-")</f>
        <v>-</v>
      </c>
      <c r="G1675">
        <f t="shared" ref="G1675:K1675" si="1036">IFERROR(G1664/G1642,"-")</f>
        <v>2.4673913043478279</v>
      </c>
      <c r="H1675">
        <f t="shared" si="1036"/>
        <v>2.4673913043478319</v>
      </c>
      <c r="I1675">
        <f t="shared" si="1036"/>
        <v>2.4673913043478404</v>
      </c>
      <c r="J1675">
        <f t="shared" si="1036"/>
        <v>2.4673913043478364</v>
      </c>
      <c r="K1675">
        <f t="shared" si="1036"/>
        <v>2.4673913043478199</v>
      </c>
    </row>
    <row r="1676" spans="2:11" x14ac:dyDescent="0.35">
      <c r="B1676" t="str">
        <f t="shared" si="1028"/>
        <v>SPS2</v>
      </c>
      <c r="C1676" t="str">
        <f t="shared" si="1019"/>
        <v>CH</v>
      </c>
      <c r="D1676" t="s">
        <v>1690</v>
      </c>
      <c r="E1676" t="s">
        <v>1230</v>
      </c>
      <c r="F1676" t="str">
        <f>IFERROR(F1665/F1644,"-")</f>
        <v>-</v>
      </c>
      <c r="G1676" t="str">
        <f t="shared" ref="G1676:K1676" si="1037">IFERROR(G1665/G1644,"-")</f>
        <v>-</v>
      </c>
      <c r="H1676" t="str">
        <f t="shared" si="1037"/>
        <v>-</v>
      </c>
      <c r="I1676" t="str">
        <f t="shared" si="1037"/>
        <v>-</v>
      </c>
      <c r="J1676">
        <f t="shared" si="1037"/>
        <v>1.7941883805152228E-2</v>
      </c>
      <c r="K1676">
        <f t="shared" si="1037"/>
        <v>1.9320077379362404E-2</v>
      </c>
    </row>
    <row r="1677" spans="2:11" x14ac:dyDescent="0.35">
      <c r="B1677" t="str">
        <f t="shared" si="1028"/>
        <v>SPS2</v>
      </c>
      <c r="C1677" t="str">
        <f t="shared" si="1019"/>
        <v>CH</v>
      </c>
      <c r="D1677" t="s">
        <v>1691</v>
      </c>
      <c r="E1677" t="s">
        <v>1230</v>
      </c>
      <c r="F1677" t="str">
        <f>IFERROR(F1666/F1645,"-")</f>
        <v>-</v>
      </c>
      <c r="G1677" t="str">
        <f t="shared" ref="G1677:K1677" si="1038">IFERROR(G1666/G1645,"-")</f>
        <v>-</v>
      </c>
      <c r="H1677" t="str">
        <f t="shared" si="1038"/>
        <v>-</v>
      </c>
      <c r="I1677" t="str">
        <f t="shared" si="1038"/>
        <v>-</v>
      </c>
      <c r="J1677">
        <f t="shared" si="1038"/>
        <v>7.2968729943651781E-3</v>
      </c>
      <c r="K1677">
        <f t="shared" si="1038"/>
        <v>5.9340998257273554E-3</v>
      </c>
    </row>
    <row r="1678" spans="2:11" x14ac:dyDescent="0.35">
      <c r="B1678" t="str">
        <f t="shared" si="1028"/>
        <v>SPS2</v>
      </c>
      <c r="C1678" t="str">
        <f t="shared" si="1019"/>
        <v>CH</v>
      </c>
      <c r="D1678" t="s">
        <v>1692</v>
      </c>
      <c r="E1678" t="s">
        <v>240</v>
      </c>
      <c r="F1678" t="str">
        <f>IFERROR(F1667/F1646,"-")</f>
        <v>-</v>
      </c>
      <c r="G1678" t="str">
        <f t="shared" ref="G1678:K1678" si="1039">IFERROR(G1667/G1646,"-")</f>
        <v>-</v>
      </c>
      <c r="H1678" t="str">
        <f t="shared" si="1039"/>
        <v>-</v>
      </c>
      <c r="I1678" t="str">
        <f t="shared" si="1039"/>
        <v>-</v>
      </c>
      <c r="J1678">
        <f t="shared" si="1039"/>
        <v>1.793478260869575</v>
      </c>
      <c r="K1678">
        <f t="shared" si="1039"/>
        <v>1.7934782608695763</v>
      </c>
    </row>
    <row r="1679" spans="2:11" x14ac:dyDescent="0.35">
      <c r="B1679" t="str">
        <f t="shared" si="1028"/>
        <v>SPS2</v>
      </c>
      <c r="C1679" t="str">
        <f t="shared" si="1019"/>
        <v>CH</v>
      </c>
      <c r="D1679" t="s">
        <v>1693</v>
      </c>
      <c r="E1679" t="s">
        <v>240</v>
      </c>
      <c r="F1679" s="4">
        <f>IFERROR(F1668/F1652,"-")</f>
        <v>0.90641226905247907</v>
      </c>
      <c r="G1679" s="4">
        <f t="shared" ref="G1679:K1679" si="1040">IFERROR(G1668/G1652,"-")</f>
        <v>0.90641226905247585</v>
      </c>
      <c r="H1679" s="4">
        <f t="shared" si="1040"/>
        <v>0.90641226905247563</v>
      </c>
      <c r="I1679" s="4">
        <f t="shared" si="1040"/>
        <v>0.90641226905247563</v>
      </c>
      <c r="J1679" s="4">
        <f t="shared" si="1040"/>
        <v>0.90641226905247529</v>
      </c>
      <c r="K1679" s="4" t="str">
        <f t="shared" si="1040"/>
        <v>-</v>
      </c>
    </row>
    <row r="1680" spans="2:11" x14ac:dyDescent="0.35">
      <c r="B1680" t="str">
        <f t="shared" si="1028"/>
        <v>SPS2</v>
      </c>
      <c r="C1680" t="str">
        <f t="shared" si="1019"/>
        <v>CH</v>
      </c>
      <c r="D1680" t="s">
        <v>1694</v>
      </c>
      <c r="E1680" t="s">
        <v>1230</v>
      </c>
      <c r="F1680" t="str">
        <f>IFERROR(F1669/F1658,"-")</f>
        <v>-</v>
      </c>
      <c r="G1680" t="str">
        <f t="shared" ref="G1680:K1682" si="1041">IFERROR(G1669/G1658,"-")</f>
        <v>-</v>
      </c>
      <c r="H1680" t="str">
        <f t="shared" si="1041"/>
        <v>-</v>
      </c>
      <c r="I1680" t="str">
        <f t="shared" si="1041"/>
        <v>-</v>
      </c>
      <c r="J1680" t="str">
        <f t="shared" si="1041"/>
        <v>-</v>
      </c>
      <c r="K1680" t="str">
        <f t="shared" si="1041"/>
        <v>-</v>
      </c>
    </row>
    <row r="1681" spans="2:11" x14ac:dyDescent="0.35">
      <c r="B1681" t="str">
        <f t="shared" si="1028"/>
        <v>SPS2</v>
      </c>
      <c r="C1681" t="str">
        <f t="shared" si="1019"/>
        <v>CH</v>
      </c>
      <c r="D1681" t="s">
        <v>1695</v>
      </c>
      <c r="E1681" t="s">
        <v>1230</v>
      </c>
      <c r="F1681" s="1">
        <f>IFERROR(F1670/F1659,"-")</f>
        <v>4.0530738867855121E-3</v>
      </c>
      <c r="G1681" s="1">
        <f t="shared" si="1041"/>
        <v>4.0530738867855104E-3</v>
      </c>
      <c r="H1681">
        <f t="shared" si="1041"/>
        <v>4.053073886785513E-3</v>
      </c>
      <c r="I1681">
        <f t="shared" si="1041"/>
        <v>4.0530738867855087E-3</v>
      </c>
      <c r="J1681">
        <f t="shared" si="1041"/>
        <v>4.0530738867855095E-3</v>
      </c>
      <c r="K1681" t="str">
        <f t="shared" si="1041"/>
        <v>-</v>
      </c>
    </row>
    <row r="1682" spans="2:11" x14ac:dyDescent="0.35">
      <c r="B1682" t="str">
        <f t="shared" si="1028"/>
        <v>SPS2</v>
      </c>
      <c r="C1682" t="str">
        <f t="shared" si="1019"/>
        <v>CH</v>
      </c>
      <c r="D1682" t="s">
        <v>1696</v>
      </c>
      <c r="E1682" t="s">
        <v>240</v>
      </c>
      <c r="F1682" s="4">
        <f>IFERROR(F1671/F1660,"-")</f>
        <v>0.98826978015125178</v>
      </c>
      <c r="G1682" s="4">
        <f t="shared" si="1041"/>
        <v>0.98826978015125466</v>
      </c>
      <c r="H1682" s="4">
        <f t="shared" si="1041"/>
        <v>0.98826978015125522</v>
      </c>
      <c r="I1682" s="4">
        <f t="shared" si="1041"/>
        <v>0.98826978015125333</v>
      </c>
      <c r="J1682" s="4">
        <f t="shared" si="1041"/>
        <v>0.98826978015124245</v>
      </c>
      <c r="K1682" s="4">
        <f t="shared" si="1041"/>
        <v>0.98826978015124878</v>
      </c>
    </row>
    <row r="1683" spans="2:11" x14ac:dyDescent="0.35">
      <c r="B1683" s="2" t="str">
        <f t="shared" si="1028"/>
        <v>SPS2</v>
      </c>
      <c r="C1683" s="2" t="str">
        <f>C1682</f>
        <v>CH</v>
      </c>
      <c r="D1683" s="2" t="s">
        <v>1702</v>
      </c>
      <c r="E1683" s="2" t="s">
        <v>442</v>
      </c>
      <c r="F1683" s="3">
        <f>SUM(F1684:F1686,F1689:F1691,-F1696)</f>
        <v>34.762010816097387</v>
      </c>
      <c r="G1683" s="3">
        <f t="shared" ref="G1683:K1683" si="1042">SUM(G1684:G1686,G1689:G1691,-G1696)</f>
        <v>32.488267682506518</v>
      </c>
      <c r="H1683" s="3">
        <f t="shared" si="1042"/>
        <v>30.062896630819569</v>
      </c>
      <c r="I1683" s="3">
        <f t="shared" si="1042"/>
        <v>20.376203757844664</v>
      </c>
      <c r="J1683" s="3">
        <f t="shared" si="1042"/>
        <v>8.8878823169844257</v>
      </c>
      <c r="K1683" s="3">
        <f t="shared" si="1042"/>
        <v>-1.4026983420338535E-5</v>
      </c>
    </row>
    <row r="1684" spans="2:11" x14ac:dyDescent="0.35">
      <c r="B1684" t="str">
        <f t="shared" si="1028"/>
        <v>SPS2</v>
      </c>
      <c r="C1684" t="str">
        <f t="shared" ref="C1684" si="1043">C1683</f>
        <v>CH</v>
      </c>
      <c r="D1684" t="s">
        <v>1703</v>
      </c>
      <c r="E1684" t="str">
        <f>E1683</f>
        <v>Mt/yr.</v>
      </c>
      <c r="F1684" s="1">
        <f>[1]Summary!B53+[1]Summary!B59</f>
        <v>2.6085752809837341</v>
      </c>
      <c r="G1684" s="1">
        <f>[1]Summary!C53+[1]Summary!C59</f>
        <v>2.4303052200214097</v>
      </c>
      <c r="H1684" s="1">
        <f>[1]Summary!D53+[1]Summary!D59</f>
        <v>2.3647843196283933</v>
      </c>
      <c r="I1684" s="1">
        <f>[1]Summary!E53+[1]Summary!E59</f>
        <v>2.3672456858842539</v>
      </c>
      <c r="J1684" s="1">
        <f>[1]Summary!F53+[1]Summary!F59</f>
        <v>1.6025323542631522</v>
      </c>
      <c r="K1684" s="1">
        <f>[1]Summary!G53+[1]Summary!G59</f>
        <v>-0.10001516309298264</v>
      </c>
    </row>
    <row r="1685" spans="2:11" x14ac:dyDescent="0.35">
      <c r="B1685" t="str">
        <f t="shared" si="1028"/>
        <v>SPS2</v>
      </c>
      <c r="C1685" t="str">
        <f t="shared" ref="C1685:C1696" si="1044">C1684</f>
        <v>CH</v>
      </c>
      <c r="D1685" t="s">
        <v>1704</v>
      </c>
      <c r="E1685" t="str">
        <f t="shared" ref="E1685:E1696" si="1045">E1684</f>
        <v>Mt/yr.</v>
      </c>
      <c r="F1685" s="1">
        <f>[1]Summary!B54+[1]Summary!B61</f>
        <v>0</v>
      </c>
      <c r="G1685" s="1">
        <f>[1]Summary!C54+[1]Summary!C61</f>
        <v>0</v>
      </c>
      <c r="H1685" s="1">
        <f>[1]Summary!D54+[1]Summary!D61</f>
        <v>0</v>
      </c>
      <c r="I1685" s="1">
        <f>[1]Summary!E54+[1]Summary!E61</f>
        <v>0</v>
      </c>
      <c r="J1685" s="1">
        <f>[1]Summary!F54+[1]Summary!F61</f>
        <v>0</v>
      </c>
      <c r="K1685" s="1">
        <f>[1]Summary!G54+[1]Summary!G61+[1]Summary!G62</f>
        <v>-1.6744724651842278</v>
      </c>
    </row>
    <row r="1686" spans="2:11" x14ac:dyDescent="0.35">
      <c r="B1686" t="str">
        <f t="shared" si="1028"/>
        <v>SPS2</v>
      </c>
      <c r="C1686" t="str">
        <f t="shared" si="1044"/>
        <v>CH</v>
      </c>
      <c r="D1686" t="s">
        <v>1705</v>
      </c>
      <c r="E1686" t="str">
        <f t="shared" si="1045"/>
        <v>Mt/yr.</v>
      </c>
      <c r="F1686" s="1">
        <f>[1]Summary!B55+[1]Summary!B60</f>
        <v>6.4943534197379886</v>
      </c>
      <c r="G1686" s="1">
        <f>[1]Summary!C55+[1]Summary!C60</f>
        <v>6.1043455526492787</v>
      </c>
      <c r="H1686" s="1">
        <f>[1]Summary!D55+[1]Summary!D60</f>
        <v>5.6311370843430071</v>
      </c>
      <c r="I1686" s="1">
        <f>[1]Summary!E55+[1]Summary!E60</f>
        <v>4.8052288415372093</v>
      </c>
      <c r="J1686" s="1">
        <f>[1]Summary!F55+[1]Summary!F60</f>
        <v>2.9427880635651356</v>
      </c>
      <c r="K1686" s="1">
        <f>[1]Summary!G55+[1]Summary!G60</f>
        <v>0.20123998593356429</v>
      </c>
    </row>
    <row r="1687" spans="2:11" x14ac:dyDescent="0.35">
      <c r="B1687" t="str">
        <f t="shared" si="1028"/>
        <v>SPS2</v>
      </c>
      <c r="C1687" t="str">
        <f t="shared" si="1044"/>
        <v>CH</v>
      </c>
      <c r="D1687" t="s">
        <v>1715</v>
      </c>
      <c r="E1687" t="str">
        <f t="shared" si="1045"/>
        <v>Mt/yr.</v>
      </c>
      <c r="F1687" s="1">
        <f>F1686-F1688</f>
        <v>4.4050066192533492</v>
      </c>
      <c r="G1687" s="1">
        <f t="shared" ref="G1687:K1687" si="1046">G1686-G1688</f>
        <v>3.9933323827751983</v>
      </c>
      <c r="H1687" s="1">
        <f t="shared" si="1046"/>
        <v>3.5288676132817471</v>
      </c>
      <c r="I1687" s="1">
        <f t="shared" si="1046"/>
        <v>2.7115701212045895</v>
      </c>
      <c r="J1687" s="1">
        <f t="shared" si="1046"/>
        <v>0.86547545937852188</v>
      </c>
      <c r="K1687" s="1">
        <f t="shared" si="1046"/>
        <v>-0.83059429882006586</v>
      </c>
    </row>
    <row r="1688" spans="2:11" x14ac:dyDescent="0.35">
      <c r="B1688" t="str">
        <f t="shared" si="1028"/>
        <v>SPS2</v>
      </c>
      <c r="C1688" t="str">
        <f t="shared" si="1044"/>
        <v>CH</v>
      </c>
      <c r="D1688" t="s">
        <v>1714</v>
      </c>
      <c r="E1688" t="str">
        <f t="shared" si="1045"/>
        <v>Mt/yr.</v>
      </c>
      <c r="F1688" s="1" cm="1">
        <f t="array" ref="F1688">SUMPRODUCT(ISNUMBER(SEARCH("processco2",[1]OUT_CO2_emissions!$D$3:$D$1000))*1,("var_fout"=[1]OUT_CO2_emissions!$C$3:$C$1000)*1,("CO2"=[1]OUT_CO2_emissions!$B$3:$B$1000)*1,[1]OUT_CO2_emissions!E$3:E$1000)/1000</f>
        <v>2.0893468004846398</v>
      </c>
      <c r="G1688" s="1" cm="1">
        <f t="array" ref="G1688">SUMPRODUCT(ISNUMBER(SEARCH("processco2",[1]OUT_CO2_emissions!$D$3:$D$1000))*1,("var_fout"=[1]OUT_CO2_emissions!$C$3:$C$1000)*1,("CO2"=[1]OUT_CO2_emissions!$B$3:$B$1000)*1,[1]OUT_CO2_emissions!F$3:F$1000)/1000</f>
        <v>2.1110131698740804</v>
      </c>
      <c r="H1688" s="1" cm="1">
        <f t="array" ref="H1688">SUMPRODUCT(ISNUMBER(SEARCH("processco2",[1]OUT_CO2_emissions!$D$3:$D$1000))*1,("var_fout"=[1]OUT_CO2_emissions!$C$3:$C$1000)*1,("CO2"=[1]OUT_CO2_emissions!$B$3:$B$1000)*1,[1]OUT_CO2_emissions!G$3:G$1000)/1000</f>
        <v>2.1022694710612599</v>
      </c>
      <c r="I1688" s="1" cm="1">
        <f t="array" ref="I1688">SUMPRODUCT(ISNUMBER(SEARCH("processco2",[1]OUT_CO2_emissions!$D$3:$D$1000))*1,("var_fout"=[1]OUT_CO2_emissions!$C$3:$C$1000)*1,("CO2"=[1]OUT_CO2_emissions!$B$3:$B$1000)*1,[1]OUT_CO2_emissions!H$3:H$1000)/1000</f>
        <v>2.0936587203326198</v>
      </c>
      <c r="J1688" s="1" cm="1">
        <f t="array" ref="J1688">SUMPRODUCT(ISNUMBER(SEARCH("processco2",[1]OUT_CO2_emissions!$D$3:$D$1000))*1,("var_fout"=[1]OUT_CO2_emissions!$C$3:$C$1000)*1,("CO2"=[1]OUT_CO2_emissions!$B$3:$B$1000)*1,[1]OUT_CO2_emissions!I$3:I$1000)/1000</f>
        <v>2.0773126041866137</v>
      </c>
      <c r="K1688" s="1" cm="1">
        <f t="array" ref="K1688">SUMPRODUCT(ISNUMBER(SEARCH("processco2",[1]OUT_CO2_emissions!$D$3:$D$1000))*1,("var_fout"=[1]OUT_CO2_emissions!$C$3:$C$1000)*1,("CO2"=[1]OUT_CO2_emissions!$B$3:$B$1000)*1,[1]OUT_CO2_emissions!J$3:J$1000)/1000</f>
        <v>1.0318342847536301</v>
      </c>
    </row>
    <row r="1689" spans="2:11" x14ac:dyDescent="0.35">
      <c r="B1689" t="str">
        <f t="shared" si="1028"/>
        <v>SPS2</v>
      </c>
      <c r="C1689" t="str">
        <f t="shared" si="1044"/>
        <v>CH</v>
      </c>
      <c r="D1689" t="s">
        <v>1706</v>
      </c>
      <c r="E1689" t="str">
        <f t="shared" si="1045"/>
        <v>Mt/yr.</v>
      </c>
      <c r="F1689" s="1">
        <f>[1]Summary!B56</f>
        <v>3.7924329103060801</v>
      </c>
      <c r="G1689" s="1">
        <f>[1]Summary!C56</f>
        <v>3.5090257957125499</v>
      </c>
      <c r="H1689" s="1">
        <f>[1]Summary!D56</f>
        <v>3.2235978323894194</v>
      </c>
      <c r="I1689" s="1">
        <f>[1]Summary!E56</f>
        <v>2.2178826099308599</v>
      </c>
      <c r="J1689" s="1">
        <f>[1]Summary!F56</f>
        <v>0.94087512164365195</v>
      </c>
      <c r="K1689" s="1">
        <f>[1]Summary!G56</f>
        <v>0.27646067697470811</v>
      </c>
    </row>
    <row r="1690" spans="2:11" x14ac:dyDescent="0.35">
      <c r="B1690" t="str">
        <f t="shared" si="1028"/>
        <v>SPS2</v>
      </c>
      <c r="C1690" t="str">
        <f t="shared" si="1044"/>
        <v>CH</v>
      </c>
      <c r="D1690" t="s">
        <v>1707</v>
      </c>
      <c r="E1690" t="str">
        <f t="shared" si="1045"/>
        <v>Mt/yr.</v>
      </c>
      <c r="F1690" s="1">
        <f>[1]Summary!B57</f>
        <v>7.1803360002098398</v>
      </c>
      <c r="G1690" s="1">
        <f>[1]Summary!C57</f>
        <v>6.4815479040186128</v>
      </c>
      <c r="H1690" s="1">
        <f>[1]Summary!D57</f>
        <v>6.2406368889827037</v>
      </c>
      <c r="I1690" s="1">
        <f>[1]Summary!E57</f>
        <v>3.9096574208096206</v>
      </c>
      <c r="J1690" s="1">
        <f>[1]Summary!F57</f>
        <v>1.497940116659948</v>
      </c>
      <c r="K1690" s="1">
        <f>[1]Summary!G57</f>
        <v>0.6496470824531223</v>
      </c>
    </row>
    <row r="1691" spans="2:11" x14ac:dyDescent="0.35">
      <c r="B1691" t="str">
        <f t="shared" si="1028"/>
        <v>SPS2</v>
      </c>
      <c r="C1691" t="str">
        <f t="shared" si="1044"/>
        <v>CH</v>
      </c>
      <c r="D1691" t="s">
        <v>1708</v>
      </c>
      <c r="E1691" t="str">
        <f t="shared" si="1045"/>
        <v>Mt/yr.</v>
      </c>
      <c r="F1691" s="1">
        <f>[1]Summary!B58</f>
        <v>14.686313204859742</v>
      </c>
      <c r="G1691" s="1">
        <f>[1]Summary!C58</f>
        <v>13.96304321010467</v>
      </c>
      <c r="H1691" s="1">
        <f>[1]Summary!D58</f>
        <v>12.602740505476046</v>
      </c>
      <c r="I1691" s="1">
        <f>[1]Summary!E58</f>
        <v>7.0761891996827178</v>
      </c>
      <c r="J1691" s="1">
        <f>[1]Summary!F58</f>
        <v>1.9037616235838652</v>
      </c>
      <c r="K1691" s="1">
        <f>[1]Summary!G58</f>
        <v>0.6780373505122399</v>
      </c>
    </row>
    <row r="1692" spans="2:11" x14ac:dyDescent="0.35">
      <c r="B1692" t="str">
        <f t="shared" si="1028"/>
        <v>SPS2</v>
      </c>
      <c r="C1692" t="str">
        <f t="shared" si="1044"/>
        <v>CH</v>
      </c>
      <c r="D1692" t="s">
        <v>1709</v>
      </c>
      <c r="E1692" t="str">
        <f t="shared" si="1045"/>
        <v>Mt/yr.</v>
      </c>
      <c r="F1692" s="1">
        <f>-[1]Summary!B59</f>
        <v>0</v>
      </c>
      <c r="G1692" s="1">
        <f>-[1]Summary!C59</f>
        <v>0</v>
      </c>
      <c r="H1692" s="1">
        <f>-[1]Summary!D59</f>
        <v>0</v>
      </c>
      <c r="I1692" s="1">
        <f>-[1]Summary!E59</f>
        <v>0</v>
      </c>
      <c r="J1692" s="1">
        <f>-[1]Summary!F59</f>
        <v>0.86739061498178016</v>
      </c>
      <c r="K1692" s="1">
        <f>-[1]Summary!G59</f>
        <v>2.6529696194598373</v>
      </c>
    </row>
    <row r="1693" spans="2:11" x14ac:dyDescent="0.35">
      <c r="B1693" t="str">
        <f t="shared" si="1028"/>
        <v>SPS2</v>
      </c>
      <c r="C1693" t="str">
        <f t="shared" si="1044"/>
        <v>CH</v>
      </c>
      <c r="D1693" t="s">
        <v>1710</v>
      </c>
      <c r="E1693" t="str">
        <f t="shared" si="1045"/>
        <v>Mt/yr.</v>
      </c>
      <c r="F1693" s="1">
        <f>-[1]Summary!B60</f>
        <v>0</v>
      </c>
      <c r="G1693" s="1">
        <f>-[1]Summary!C60</f>
        <v>0</v>
      </c>
      <c r="H1693" s="1">
        <f>-[1]Summary!D60</f>
        <v>0</v>
      </c>
      <c r="I1693" s="1">
        <f>-[1]Summary!E60</f>
        <v>0</v>
      </c>
      <c r="J1693" s="1">
        <f>-[1]Summary!F60</f>
        <v>0.61970613270937103</v>
      </c>
      <c r="K1693" s="1">
        <f>-[1]Summary!G60</f>
        <v>3.036071732293065</v>
      </c>
    </row>
    <row r="1694" spans="2:11" x14ac:dyDescent="0.35">
      <c r="B1694" t="str">
        <f t="shared" si="1028"/>
        <v>SPS2</v>
      </c>
      <c r="C1694" t="str">
        <f t="shared" si="1044"/>
        <v>CH</v>
      </c>
      <c r="D1694" t="s">
        <v>1711</v>
      </c>
      <c r="E1694" t="str">
        <f t="shared" si="1045"/>
        <v>Mt/yr.</v>
      </c>
      <c r="F1694" s="1">
        <f>-[1]Summary!B61</f>
        <v>0</v>
      </c>
      <c r="G1694" s="1">
        <f>-[1]Summary!C61</f>
        <v>0</v>
      </c>
      <c r="H1694" s="1">
        <f>-[1]Summary!D61</f>
        <v>0</v>
      </c>
      <c r="I1694" s="1">
        <f>-[1]Summary!E61</f>
        <v>0</v>
      </c>
      <c r="J1694" s="1">
        <f>-[1]Summary!F61</f>
        <v>0</v>
      </c>
      <c r="K1694" s="1">
        <f>-[1]Summary!G61</f>
        <v>0.97135317400658494</v>
      </c>
    </row>
    <row r="1695" spans="2:11" x14ac:dyDescent="0.35">
      <c r="B1695" t="str">
        <f t="shared" si="1028"/>
        <v>SPS2</v>
      </c>
      <c r="C1695" t="str">
        <f t="shared" si="1044"/>
        <v>CH</v>
      </c>
      <c r="D1695" t="s">
        <v>1712</v>
      </c>
      <c r="E1695" t="str">
        <f t="shared" si="1045"/>
        <v>Mt/yr.</v>
      </c>
      <c r="F1695" s="1">
        <f>-[1]Summary!B62</f>
        <v>0</v>
      </c>
      <c r="G1695" s="1">
        <f>-[1]Summary!C62</f>
        <v>0</v>
      </c>
      <c r="H1695" s="1">
        <f>-[1]Summary!D62</f>
        <v>0</v>
      </c>
      <c r="I1695" s="1">
        <f>-[1]Summary!E62</f>
        <v>0</v>
      </c>
      <c r="J1695" s="1">
        <f>-[1]Summary!F62</f>
        <v>4.996272996202945E-4</v>
      </c>
      <c r="K1695" s="1">
        <f>-[1]Summary!G62</f>
        <v>0.70311929117764282</v>
      </c>
    </row>
    <row r="1696" spans="2:11" x14ac:dyDescent="0.35">
      <c r="B1696" t="str">
        <f t="shared" si="1028"/>
        <v>SPS2</v>
      </c>
      <c r="C1696" t="str">
        <f t="shared" si="1044"/>
        <v>CH</v>
      </c>
      <c r="D1696" t="s">
        <v>1713</v>
      </c>
      <c r="E1696" t="str">
        <f t="shared" si="1045"/>
        <v>Mt/yr.</v>
      </c>
      <c r="F1696" s="1">
        <f>-[1]Summary!B63</f>
        <v>0</v>
      </c>
      <c r="G1696" s="1">
        <f>-[1]Summary!C63</f>
        <v>0</v>
      </c>
      <c r="H1696" s="1">
        <f>-[1]Summary!D63</f>
        <v>0</v>
      </c>
      <c r="I1696" s="1">
        <f>-[1]Summary!E63</f>
        <v>0</v>
      </c>
      <c r="J1696" s="1">
        <f>-[1]Summary!F63</f>
        <v>1.4962731328082562E-5</v>
      </c>
      <c r="K1696" s="1">
        <f>-[1]Summary!G63</f>
        <v>3.0911494579844427E-2</v>
      </c>
    </row>
    <row r="1697" spans="2:11" x14ac:dyDescent="0.35">
      <c r="B1697" s="2" t="str">
        <f t="shared" si="1028"/>
        <v>SPS2</v>
      </c>
      <c r="C1697" s="2" t="str">
        <f>C1696</f>
        <v>CH</v>
      </c>
      <c r="D1697" s="2" t="s">
        <v>1716</v>
      </c>
      <c r="E1697" s="2" t="s">
        <v>442</v>
      </c>
      <c r="F1697" s="3">
        <f>SUM(F1698:F1700)</f>
        <v>0</v>
      </c>
      <c r="G1697" s="3">
        <f t="shared" ref="G1697:K1697" si="1047">SUM(G1698:G1700)</f>
        <v>0</v>
      </c>
      <c r="H1697" s="3">
        <f t="shared" si="1047"/>
        <v>0</v>
      </c>
      <c r="I1697" s="3">
        <f t="shared" si="1047"/>
        <v>0</v>
      </c>
      <c r="J1697" s="3">
        <f t="shared" si="1047"/>
        <v>1.4875404657591715</v>
      </c>
      <c r="K1697" s="3">
        <f t="shared" si="1047"/>
        <v>7.3943296745435152</v>
      </c>
    </row>
    <row r="1698" spans="2:11" x14ac:dyDescent="0.35">
      <c r="B1698" t="str">
        <f t="shared" si="1028"/>
        <v>SPS2</v>
      </c>
      <c r="C1698" t="str">
        <f>C1697</f>
        <v>CH</v>
      </c>
      <c r="D1698" t="s">
        <v>1717</v>
      </c>
      <c r="E1698" t="str">
        <f>E1697</f>
        <v>Mt/yr.</v>
      </c>
      <c r="F1698" s="1">
        <v>0</v>
      </c>
      <c r="G1698" s="1">
        <v>0</v>
      </c>
      <c r="H1698" s="1">
        <v>0</v>
      </c>
      <c r="I1698" s="1">
        <v>0</v>
      </c>
      <c r="J1698" s="1">
        <f>[1]Summary!B$77</f>
        <v>0.83334759330272712</v>
      </c>
      <c r="K1698" s="1">
        <f>[1]Summary!C$77</f>
        <v>3.4615439803128423</v>
      </c>
    </row>
    <row r="1699" spans="2:11" x14ac:dyDescent="0.35">
      <c r="B1699" t="str">
        <f t="shared" si="1028"/>
        <v>SPS2</v>
      </c>
      <c r="C1699" t="str">
        <f t="shared" ref="C1699:C1700" si="1048">C1698</f>
        <v>CH</v>
      </c>
      <c r="D1699" t="s">
        <v>1718</v>
      </c>
      <c r="E1699" t="str">
        <f>E1698</f>
        <v>Mt/yr.</v>
      </c>
      <c r="F1699" s="1">
        <v>0</v>
      </c>
      <c r="G1699" s="1">
        <v>0</v>
      </c>
      <c r="H1699" s="1">
        <v>0</v>
      </c>
      <c r="I1699" s="1">
        <v>0</v>
      </c>
      <c r="J1699" s="1">
        <f>[1]Summary!B$78</f>
        <v>0.65419287245644442</v>
      </c>
      <c r="K1699" s="1">
        <f>[1]Summary!C$78</f>
        <v>1.6908374607233083</v>
      </c>
    </row>
    <row r="1700" spans="2:11" x14ac:dyDescent="0.35">
      <c r="B1700" t="str">
        <f t="shared" si="1028"/>
        <v>SPS2</v>
      </c>
      <c r="C1700" t="str">
        <f t="shared" si="1048"/>
        <v>CH</v>
      </c>
      <c r="D1700" t="s">
        <v>1719</v>
      </c>
      <c r="E1700" t="str">
        <f>E1699</f>
        <v>Mt/yr.</v>
      </c>
      <c r="F1700" s="1">
        <v>0</v>
      </c>
      <c r="G1700" s="1">
        <v>0</v>
      </c>
      <c r="H1700" s="1">
        <v>0</v>
      </c>
      <c r="I1700" s="1">
        <v>0</v>
      </c>
      <c r="J1700" s="1">
        <f>[1]Summary!B$79</f>
        <v>0</v>
      </c>
      <c r="K1700" s="1">
        <f>[1]Summary!C$79</f>
        <v>2.2419482335073644</v>
      </c>
    </row>
    <row r="1701" spans="2:11" x14ac:dyDescent="0.35">
      <c r="B1701" s="2" t="str">
        <f t="shared" si="1028"/>
        <v>SPS2</v>
      </c>
      <c r="C1701" s="2" t="str">
        <f t="shared" ref="C1701:C1706" si="1049">C1700</f>
        <v>CH</v>
      </c>
      <c r="D1701" s="2" t="s">
        <v>1721</v>
      </c>
      <c r="E1701" s="21" t="s">
        <v>292</v>
      </c>
      <c r="F1701" s="21" t="s">
        <v>292</v>
      </c>
      <c r="G1701" s="21" t="s">
        <v>292</v>
      </c>
      <c r="H1701" s="21" t="s">
        <v>292</v>
      </c>
      <c r="I1701" s="21" t="s">
        <v>292</v>
      </c>
      <c r="J1701" s="21" t="s">
        <v>292</v>
      </c>
      <c r="K1701" s="21" t="s">
        <v>292</v>
      </c>
    </row>
    <row r="1702" spans="2:11" x14ac:dyDescent="0.35">
      <c r="B1702" t="str">
        <f t="shared" si="1028"/>
        <v>SPS2</v>
      </c>
      <c r="C1702" t="str">
        <f t="shared" si="1049"/>
        <v>CH</v>
      </c>
      <c r="D1702" t="s">
        <v>1724</v>
      </c>
      <c r="E1702" t="s">
        <v>8</v>
      </c>
      <c r="F1702" s="1">
        <f>SUM(F1703:F1704)</f>
        <v>0</v>
      </c>
      <c r="G1702" s="1">
        <f t="shared" ref="G1702:K1702" si="1050">SUM(G1703:G1704)</f>
        <v>0</v>
      </c>
      <c r="H1702" s="1">
        <f t="shared" si="1050"/>
        <v>0</v>
      </c>
      <c r="I1702" s="1">
        <f t="shared" si="1050"/>
        <v>0</v>
      </c>
      <c r="J1702" s="1">
        <f t="shared" si="1050"/>
        <v>1.2023821957281477E-4</v>
      </c>
      <c r="K1702" s="1">
        <f t="shared" si="1050"/>
        <v>0.22515223207820789</v>
      </c>
    </row>
    <row r="1703" spans="2:11" x14ac:dyDescent="0.35">
      <c r="B1703" t="str">
        <f t="shared" si="1028"/>
        <v>SPS2</v>
      </c>
      <c r="C1703" t="str">
        <f t="shared" si="1049"/>
        <v>CH</v>
      </c>
      <c r="D1703" t="s">
        <v>1725</v>
      </c>
      <c r="E1703" t="s">
        <v>8</v>
      </c>
      <c r="F1703" s="1" cm="1">
        <f t="array" ref="F1703">SUMPRODUCT(("SUP_DAC"=[1]OUT_SyntheticFuels!$C$1:$C$1000)*1,("Var_Fin"=[1]OUT_SyntheticFuels!$B$1:$B$1000)*1,ISNUMBER(SEARCH("ELC",[1]OUT_SyntheticFuels!$A$1:$A$1000))*1,[1]OUT_SyntheticFuels!E$1:E$1000)</f>
        <v>0</v>
      </c>
      <c r="G1703" s="1" cm="1">
        <f t="array" ref="G1703">SUMPRODUCT(("SUP_DAC"=[1]OUT_SyntheticFuels!$C$1:$C$1000)*1,("Var_Fin"=[1]OUT_SyntheticFuels!$B$1:$B$1000)*1,ISNUMBER(SEARCH("ELC",[1]OUT_SyntheticFuels!$A$1:$A$1000))*1,[1]OUT_SyntheticFuels!F$1:F$1000)</f>
        <v>0</v>
      </c>
      <c r="H1703" s="1" cm="1">
        <f t="array" ref="H1703">SUMPRODUCT(("SUP_DAC"=[1]OUT_SyntheticFuels!$C$1:$C$1000)*1,("Var_Fin"=[1]OUT_SyntheticFuels!$B$1:$B$1000)*1,ISNUMBER(SEARCH("ELC",[1]OUT_SyntheticFuels!$A$1:$A$1000))*1,[1]OUT_SyntheticFuels!G$1:G$1000)</f>
        <v>0</v>
      </c>
      <c r="I1703" s="1" cm="1">
        <f t="array" ref="I1703">SUMPRODUCT(("SUP_DAC"=[1]OUT_SyntheticFuels!$C$1:$C$1000)*1,("Var_Fin"=[1]OUT_SyntheticFuels!$B$1:$B$1000)*1,ISNUMBER(SEARCH("ELC",[1]OUT_SyntheticFuels!$A$1:$A$1000))*1,[1]OUT_SyntheticFuels!H$1:H$1000)</f>
        <v>0</v>
      </c>
      <c r="J1703" s="1" cm="1">
        <f t="array" ref="J1703">SUMPRODUCT(("SUP_DAC"=[1]OUT_SyntheticFuels!$C$1:$C$1000)*1,("Var_Fin"=[1]OUT_SyntheticFuels!$B$1:$B$1000)*1,ISNUMBER(SEARCH("ELC",[1]OUT_SyntheticFuels!$A$1:$A$1000))*1,[1]OUT_SyntheticFuels!I$1:I$1000)</f>
        <v>2.0748320774941181E-5</v>
      </c>
      <c r="K1703" s="1" cm="1">
        <f t="array" ref="K1703">SUMPRODUCT(("SUP_DAC"=[1]OUT_SyntheticFuels!$C$1:$C$1000)*1,("Var_Fin"=[1]OUT_SyntheticFuels!$B$1:$B$1000)*1,ISNUMBER(SEARCH("ELC",[1]OUT_SyntheticFuels!$A$1:$A$1000))*1,[1]OUT_SyntheticFuels!J$1:J$1000)</f>
        <v>2.8129460067658419E-2</v>
      </c>
    </row>
    <row r="1704" spans="2:11" x14ac:dyDescent="0.35">
      <c r="B1704" t="str">
        <f t="shared" si="1028"/>
        <v>SPS2</v>
      </c>
      <c r="C1704" t="str">
        <f t="shared" si="1049"/>
        <v>CH</v>
      </c>
      <c r="D1704" t="s">
        <v>1726</v>
      </c>
      <c r="E1704" t="s">
        <v>8</v>
      </c>
      <c r="F1704" s="1" cm="1">
        <f t="array" ref="F1704">SUMPRODUCT(("SUP_DAC"=[1]OUT_SyntheticFuels!$C$1:$C$1000)*1,("Var_Fin"=[1]OUT_SyntheticFuels!$B$1:$B$1000)*1,ISNUMBER(SEARCH("HEAT",[1]OUT_SyntheticFuels!$A$1:$A$1000))*1,[1]OUT_SyntheticFuels!E$1:E$1000)</f>
        <v>0</v>
      </c>
      <c r="G1704" s="1" cm="1">
        <f t="array" ref="G1704">SUMPRODUCT(("SUP_DAC"=[1]OUT_SyntheticFuels!$C$1:$C$1000)*1,("Var_Fin"=[1]OUT_SyntheticFuels!$B$1:$B$1000)*1,ISNUMBER(SEARCH("HEAT",[1]OUT_SyntheticFuels!$A$1:$A$1000))*1,[1]OUT_SyntheticFuels!F$1:F$1000)</f>
        <v>0</v>
      </c>
      <c r="H1704" s="1" cm="1">
        <f t="array" ref="H1704">SUMPRODUCT(("SUP_DAC"=[1]OUT_SyntheticFuels!$C$1:$C$1000)*1,("Var_Fin"=[1]OUT_SyntheticFuels!$B$1:$B$1000)*1,ISNUMBER(SEARCH("HEAT",[1]OUT_SyntheticFuels!$A$1:$A$1000))*1,[1]OUT_SyntheticFuels!G$1:G$1000)</f>
        <v>0</v>
      </c>
      <c r="I1704" s="1" cm="1">
        <f t="array" ref="I1704">SUMPRODUCT(("SUP_DAC"=[1]OUT_SyntheticFuels!$C$1:$C$1000)*1,("Var_Fin"=[1]OUT_SyntheticFuels!$B$1:$B$1000)*1,ISNUMBER(SEARCH("HEAT",[1]OUT_SyntheticFuels!$A$1:$A$1000))*1,[1]OUT_SyntheticFuels!H$1:H$1000)</f>
        <v>0</v>
      </c>
      <c r="J1704" s="1" cm="1">
        <f t="array" ref="J1704">SUMPRODUCT(("SUP_DAC"=[1]OUT_SyntheticFuels!$C$1:$C$1000)*1,("Var_Fin"=[1]OUT_SyntheticFuels!$B$1:$B$1000)*1,ISNUMBER(SEARCH("HEAT",[1]OUT_SyntheticFuels!$A$1:$A$1000))*1,[1]OUT_SyntheticFuels!I$1:I$1000)</f>
        <v>9.9489898797873593E-5</v>
      </c>
      <c r="K1704" s="1" cm="1">
        <f t="array" ref="K1704">SUMPRODUCT(("SUP_DAC"=[1]OUT_SyntheticFuels!$C$1:$C$1000)*1,("Var_Fin"=[1]OUT_SyntheticFuels!$B$1:$B$1000)*1,ISNUMBER(SEARCH("HEAT",[1]OUT_SyntheticFuels!$A$1:$A$1000))*1,[1]OUT_SyntheticFuels!J$1:J$1000)</f>
        <v>0.19702277201054946</v>
      </c>
    </row>
    <row r="1705" spans="2:11" x14ac:dyDescent="0.35">
      <c r="B1705" t="str">
        <f t="shared" si="1028"/>
        <v>SPS2</v>
      </c>
      <c r="C1705" t="str">
        <f t="shared" si="1049"/>
        <v>CH</v>
      </c>
      <c r="D1705" t="s">
        <v>1727</v>
      </c>
      <c r="E1705" t="s">
        <v>442</v>
      </c>
      <c r="F1705" s="1">
        <f>F1696</f>
        <v>0</v>
      </c>
      <c r="G1705" s="1">
        <f t="shared" ref="G1705:K1705" si="1051">G1696</f>
        <v>0</v>
      </c>
      <c r="H1705" s="1">
        <f t="shared" si="1051"/>
        <v>0</v>
      </c>
      <c r="I1705" s="1">
        <f t="shared" si="1051"/>
        <v>0</v>
      </c>
      <c r="J1705" s="1">
        <f t="shared" si="1051"/>
        <v>1.4962731328082562E-5</v>
      </c>
      <c r="K1705" s="1">
        <f t="shared" si="1051"/>
        <v>3.0911494579844427E-2</v>
      </c>
    </row>
    <row r="1706" spans="2:11" x14ac:dyDescent="0.35">
      <c r="B1706" s="2" t="str">
        <f t="shared" si="1028"/>
        <v>SPS2</v>
      </c>
      <c r="C1706" s="2" t="str">
        <f t="shared" si="1049"/>
        <v>CH</v>
      </c>
      <c r="D1706" s="2" t="s">
        <v>1769</v>
      </c>
      <c r="E1706" s="2" t="s">
        <v>8</v>
      </c>
      <c r="F1706" s="3">
        <f>SUM(F1707:F1708,F1725,F1734:F1735,F1736,F1737,F1742,F1745,,F1750:F1753,F1746)</f>
        <v>965.15534918029073</v>
      </c>
      <c r="G1706" s="3">
        <f t="shared" ref="G1706:K1706" si="1052">SUM(G1707:G1708,G1725,G1734:G1735,G1736,G1737,G1742,G1745,,G1750:G1753,G1746)</f>
        <v>964.07854152161894</v>
      </c>
      <c r="H1706" s="3">
        <f t="shared" si="1052"/>
        <v>908.3617411205729</v>
      </c>
      <c r="I1706" s="3">
        <f t="shared" si="1052"/>
        <v>886.08780860199397</v>
      </c>
      <c r="J1706" s="3">
        <f t="shared" si="1052"/>
        <v>717.24999148368784</v>
      </c>
      <c r="K1706" s="3">
        <f t="shared" si="1052"/>
        <v>677.41777490237632</v>
      </c>
    </row>
    <row r="1707" spans="2:11" x14ac:dyDescent="0.35">
      <c r="B1707" t="str">
        <f t="shared" si="1028"/>
        <v>SPS2</v>
      </c>
      <c r="C1707" t="str">
        <f t="shared" ref="C1707" si="1053">C1706</f>
        <v>CH</v>
      </c>
      <c r="D1707" t="s">
        <v>1739</v>
      </c>
      <c r="E1707" t="str">
        <f>E1706</f>
        <v>PJ/yr.</v>
      </c>
      <c r="F1707" s="1">
        <f>F21</f>
        <v>3.6601003305816735</v>
      </c>
      <c r="G1707" s="1">
        <f t="shared" ref="G1707:K1707" si="1054">G21</f>
        <v>3.5647439460349619</v>
      </c>
      <c r="H1707" s="1">
        <f t="shared" si="1054"/>
        <v>3.2455494848262378</v>
      </c>
      <c r="I1707" s="1">
        <f t="shared" si="1054"/>
        <v>8.7668907554710844E-4</v>
      </c>
      <c r="J1707" s="1">
        <f t="shared" si="1054"/>
        <v>1.0123174128948299E-3</v>
      </c>
      <c r="K1707" s="1">
        <f t="shared" si="1054"/>
        <v>2.4086008422096807E-5</v>
      </c>
    </row>
    <row r="1708" spans="2:11" x14ac:dyDescent="0.35">
      <c r="B1708" t="str">
        <f t="shared" si="1028"/>
        <v>SPS2</v>
      </c>
      <c r="C1708" t="str">
        <f t="shared" ref="C1708:C1760" si="1055">C1707</f>
        <v>CH</v>
      </c>
      <c r="D1708" t="s">
        <v>1740</v>
      </c>
      <c r="E1708" t="str">
        <f t="shared" ref="E1708:E1736" si="1056">E1707</f>
        <v>PJ/yr.</v>
      </c>
      <c r="F1708" s="1">
        <f t="shared" ref="F1708:K1734" si="1057">F22</f>
        <v>311.75783548329679</v>
      </c>
      <c r="G1708" s="1">
        <f t="shared" si="1057"/>
        <v>287.50764370425566</v>
      </c>
      <c r="H1708" s="1">
        <f t="shared" si="1057"/>
        <v>260.57944627927372</v>
      </c>
      <c r="I1708" s="1">
        <f t="shared" si="1057"/>
        <v>152.17606768735129</v>
      </c>
      <c r="J1708" s="1">
        <f t="shared" si="1057"/>
        <v>70.320719552441517</v>
      </c>
      <c r="K1708" s="1">
        <f t="shared" si="1057"/>
        <v>69.861851505174187</v>
      </c>
    </row>
    <row r="1709" spans="2:11" x14ac:dyDescent="0.35">
      <c r="B1709" t="str">
        <f t="shared" si="1028"/>
        <v>SPS2</v>
      </c>
      <c r="C1709" t="str">
        <f t="shared" si="1055"/>
        <v>CH</v>
      </c>
      <c r="D1709" t="s">
        <v>1741</v>
      </c>
      <c r="E1709" t="str">
        <f t="shared" si="1056"/>
        <v>PJ/yr.</v>
      </c>
      <c r="F1709" s="1">
        <f t="shared" si="1057"/>
        <v>305.79769415952524</v>
      </c>
      <c r="G1709" s="1">
        <f t="shared" si="1057"/>
        <v>281.54797056494846</v>
      </c>
      <c r="H1709" s="1">
        <f t="shared" si="1057"/>
        <v>254.61972853566479</v>
      </c>
      <c r="I1709" s="1">
        <f t="shared" si="1057"/>
        <v>142.52467930631767</v>
      </c>
      <c r="J1709" s="1">
        <f t="shared" si="1057"/>
        <v>39.375931069196767</v>
      </c>
      <c r="K1709" s="1">
        <f t="shared" si="1057"/>
        <v>0</v>
      </c>
    </row>
    <row r="1710" spans="2:11" x14ac:dyDescent="0.35">
      <c r="B1710" t="str">
        <f t="shared" si="1028"/>
        <v>SPS2</v>
      </c>
      <c r="C1710" t="str">
        <f t="shared" si="1055"/>
        <v>CH</v>
      </c>
      <c r="D1710" t="s">
        <v>1742</v>
      </c>
      <c r="E1710" t="str">
        <f t="shared" si="1056"/>
        <v>PJ/yr.</v>
      </c>
      <c r="F1710" s="1">
        <f t="shared" si="1057"/>
        <v>101.79822328097571</v>
      </c>
      <c r="G1710" s="1">
        <f t="shared" si="1057"/>
        <v>88.320907577047521</v>
      </c>
      <c r="H1710" s="1">
        <f t="shared" si="1057"/>
        <v>83.346079050141967</v>
      </c>
      <c r="I1710" s="1">
        <f t="shared" si="1057"/>
        <v>46.240763404288629</v>
      </c>
      <c r="J1710" s="1">
        <f t="shared" si="1057"/>
        <v>14.143512688268398</v>
      </c>
      <c r="K1710" s="1">
        <f t="shared" si="1057"/>
        <v>0</v>
      </c>
    </row>
    <row r="1711" spans="2:11" x14ac:dyDescent="0.35">
      <c r="B1711" t="str">
        <f t="shared" si="1028"/>
        <v>SPS2</v>
      </c>
      <c r="C1711" t="str">
        <f t="shared" si="1055"/>
        <v>CH</v>
      </c>
      <c r="D1711" t="s">
        <v>1743</v>
      </c>
      <c r="E1711" t="str">
        <f t="shared" si="1056"/>
        <v>PJ/yr.</v>
      </c>
      <c r="F1711" s="1">
        <f t="shared" si="1057"/>
        <v>2.7764107403826093</v>
      </c>
      <c r="G1711" s="1">
        <f t="shared" si="1057"/>
        <v>2.6594468085616252</v>
      </c>
      <c r="H1711" s="1">
        <f t="shared" si="1057"/>
        <v>1.112370171729435E-2</v>
      </c>
      <c r="I1711" s="1">
        <f t="shared" si="1057"/>
        <v>6.6164721561264592E-4</v>
      </c>
      <c r="J1711" s="1">
        <f t="shared" si="1057"/>
        <v>1.0107088171216715E-3</v>
      </c>
      <c r="K1711" s="1">
        <f t="shared" si="1057"/>
        <v>0</v>
      </c>
    </row>
    <row r="1712" spans="2:11" x14ac:dyDescent="0.35">
      <c r="B1712" t="str">
        <f t="shared" si="1028"/>
        <v>SPS2</v>
      </c>
      <c r="C1712" t="str">
        <f t="shared" si="1055"/>
        <v>CH</v>
      </c>
      <c r="D1712" t="s">
        <v>1744</v>
      </c>
      <c r="E1712" t="str">
        <f t="shared" si="1056"/>
        <v>PJ/yr.</v>
      </c>
      <c r="F1712" s="1">
        <f t="shared" si="1057"/>
        <v>121.64758862965854</v>
      </c>
      <c r="G1712" s="1">
        <f t="shared" si="1057"/>
        <v>112.68599474003712</v>
      </c>
      <c r="H1712" s="1">
        <f t="shared" si="1057"/>
        <v>96.478282848762859</v>
      </c>
      <c r="I1712" s="1">
        <f t="shared" si="1057"/>
        <v>55.499006686379374</v>
      </c>
      <c r="J1712" s="1">
        <f t="shared" si="1057"/>
        <v>20.445674555921418</v>
      </c>
      <c r="K1712" s="1">
        <f t="shared" si="1057"/>
        <v>0</v>
      </c>
    </row>
    <row r="1713" spans="2:11" x14ac:dyDescent="0.35">
      <c r="B1713" t="str">
        <f t="shared" si="1028"/>
        <v>SPS2</v>
      </c>
      <c r="C1713" t="str">
        <f t="shared" si="1055"/>
        <v>CH</v>
      </c>
      <c r="D1713" t="s">
        <v>1745</v>
      </c>
      <c r="E1713" t="str">
        <f t="shared" si="1056"/>
        <v>PJ/yr.</v>
      </c>
      <c r="F1713" s="1">
        <f t="shared" si="1057"/>
        <v>78.466104888166868</v>
      </c>
      <c r="G1713" s="1">
        <f t="shared" si="1057"/>
        <v>76.476615103994703</v>
      </c>
      <c r="H1713" s="1">
        <f t="shared" si="1057"/>
        <v>72.940811434166065</v>
      </c>
      <c r="I1713" s="1">
        <f t="shared" si="1057"/>
        <v>38.214027615621234</v>
      </c>
      <c r="J1713" s="1">
        <f t="shared" si="1057"/>
        <v>2.6765459809539345</v>
      </c>
      <c r="K1713" s="1">
        <f t="shared" si="1057"/>
        <v>0</v>
      </c>
    </row>
    <row r="1714" spans="2:11" x14ac:dyDescent="0.35">
      <c r="B1714" t="str">
        <f t="shared" si="1028"/>
        <v>SPS2</v>
      </c>
      <c r="C1714" t="str">
        <f t="shared" si="1055"/>
        <v>CH</v>
      </c>
      <c r="D1714" t="s">
        <v>1746</v>
      </c>
      <c r="E1714" t="str">
        <f t="shared" si="1056"/>
        <v>PJ/yr.</v>
      </c>
      <c r="F1714" s="1">
        <f t="shared" si="1057"/>
        <v>1.1093666203414991</v>
      </c>
      <c r="G1714" s="1">
        <f t="shared" si="1057"/>
        <v>1.4050063353074913</v>
      </c>
      <c r="H1714" s="1">
        <f t="shared" si="1057"/>
        <v>1.8434315008766184</v>
      </c>
      <c r="I1714" s="1">
        <f t="shared" si="1057"/>
        <v>2.5702199528128182</v>
      </c>
      <c r="J1714" s="1">
        <f t="shared" si="1057"/>
        <v>2.1091871352358993</v>
      </c>
      <c r="K1714" s="1">
        <f t="shared" si="1057"/>
        <v>0</v>
      </c>
    </row>
    <row r="1715" spans="2:11" x14ac:dyDescent="0.35">
      <c r="B1715" t="str">
        <f t="shared" si="1028"/>
        <v>SPS2</v>
      </c>
      <c r="C1715" t="str">
        <f t="shared" si="1055"/>
        <v>CH</v>
      </c>
      <c r="D1715" t="s">
        <v>1747</v>
      </c>
      <c r="E1715" t="str">
        <f t="shared" si="1056"/>
        <v>PJ/yr.</v>
      </c>
      <c r="F1715" s="1">
        <f t="shared" si="1057"/>
        <v>5.9601413237715528</v>
      </c>
      <c r="G1715" s="1">
        <f t="shared" si="1057"/>
        <v>5.9596731393071902</v>
      </c>
      <c r="H1715" s="1">
        <f t="shared" si="1057"/>
        <v>5.9597177436089188</v>
      </c>
      <c r="I1715" s="1">
        <f t="shared" si="1057"/>
        <v>9.651388381033625</v>
      </c>
      <c r="J1715" s="1">
        <f t="shared" si="1057"/>
        <v>30.944788483244746</v>
      </c>
      <c r="K1715" s="1">
        <f t="shared" si="1057"/>
        <v>69.861851505174187</v>
      </c>
    </row>
    <row r="1716" spans="2:11" x14ac:dyDescent="0.35">
      <c r="B1716" t="str">
        <f t="shared" ref="B1716:B1779" si="1058">B1715</f>
        <v>SPS2</v>
      </c>
      <c r="C1716" t="str">
        <f t="shared" si="1055"/>
        <v>CH</v>
      </c>
      <c r="D1716" t="s">
        <v>1748</v>
      </c>
      <c r="E1716" t="str">
        <f t="shared" si="1056"/>
        <v>PJ/yr.</v>
      </c>
      <c r="F1716" s="1">
        <f t="shared" si="1057"/>
        <v>2.8772619344778949</v>
      </c>
      <c r="G1716" s="1">
        <f t="shared" si="1057"/>
        <v>1.8120741236159641</v>
      </c>
      <c r="H1716" s="1">
        <f t="shared" si="1057"/>
        <v>3.3314785464623751</v>
      </c>
      <c r="I1716" s="1">
        <f t="shared" si="1057"/>
        <v>6.5379602312423089</v>
      </c>
      <c r="J1716" s="1">
        <f t="shared" si="1057"/>
        <v>26.85652567684383</v>
      </c>
      <c r="K1716" s="1">
        <f t="shared" si="1057"/>
        <v>69.782923277926912</v>
      </c>
    </row>
    <row r="1717" spans="2:11" x14ac:dyDescent="0.35">
      <c r="B1717" t="str">
        <f t="shared" si="1058"/>
        <v>SPS2</v>
      </c>
      <c r="C1717" t="str">
        <f t="shared" si="1055"/>
        <v>CH</v>
      </c>
      <c r="D1717" t="s">
        <v>1749</v>
      </c>
      <c r="E1717" t="str">
        <f t="shared" si="1056"/>
        <v>PJ/yr.</v>
      </c>
      <c r="F1717" s="1">
        <f t="shared" si="1057"/>
        <v>3.0828793892936579</v>
      </c>
      <c r="G1717" s="1">
        <f t="shared" si="1057"/>
        <v>4.1475990156912266</v>
      </c>
      <c r="H1717" s="1">
        <f t="shared" si="1057"/>
        <v>2.6282391971465437</v>
      </c>
      <c r="I1717" s="1">
        <f t="shared" si="1057"/>
        <v>3.1134281497913165</v>
      </c>
      <c r="J1717" s="1">
        <f t="shared" si="1057"/>
        <v>4.0882628064009152</v>
      </c>
      <c r="K1717" s="1">
        <f t="shared" si="1057"/>
        <v>7.8928227247275592E-2</v>
      </c>
    </row>
    <row r="1718" spans="2:11" x14ac:dyDescent="0.35">
      <c r="B1718" t="str">
        <f t="shared" si="1058"/>
        <v>SPS2</v>
      </c>
      <c r="C1718" t="str">
        <f t="shared" si="1055"/>
        <v>CH</v>
      </c>
      <c r="D1718" t="s">
        <v>1750</v>
      </c>
      <c r="E1718" t="str">
        <f t="shared" si="1056"/>
        <v>PJ/yr.</v>
      </c>
      <c r="F1718" s="1">
        <f t="shared" si="1057"/>
        <v>5.9601413237715528</v>
      </c>
      <c r="G1718" s="1">
        <f t="shared" si="1057"/>
        <v>5.9596731393071902</v>
      </c>
      <c r="H1718" s="1">
        <f t="shared" si="1057"/>
        <v>5.9597177436089188</v>
      </c>
      <c r="I1718" s="1">
        <f t="shared" si="1057"/>
        <v>9.651388381033625</v>
      </c>
      <c r="J1718" s="1">
        <f t="shared" si="1057"/>
        <v>10.626223037643225</v>
      </c>
      <c r="K1718" s="1">
        <f t="shared" si="1057"/>
        <v>26.935453904091105</v>
      </c>
    </row>
    <row r="1719" spans="2:11" x14ac:dyDescent="0.35">
      <c r="B1719" t="str">
        <f t="shared" si="1058"/>
        <v>SPS2</v>
      </c>
      <c r="C1719" t="str">
        <f t="shared" si="1055"/>
        <v>CH</v>
      </c>
      <c r="D1719" t="s">
        <v>1751</v>
      </c>
      <c r="E1719" t="str">
        <f t="shared" si="1056"/>
        <v>PJ/yr.</v>
      </c>
      <c r="F1719" s="1">
        <f t="shared" si="1057"/>
        <v>2.8772619344778949</v>
      </c>
      <c r="G1719" s="1">
        <f t="shared" si="1057"/>
        <v>1.8120741236159641</v>
      </c>
      <c r="H1719" s="1">
        <f t="shared" si="1057"/>
        <v>3.3314785464623751</v>
      </c>
      <c r="I1719" s="1">
        <f t="shared" si="1057"/>
        <v>6.5379602312423089</v>
      </c>
      <c r="J1719" s="1">
        <f t="shared" si="1057"/>
        <v>6.5379602312423089</v>
      </c>
      <c r="K1719" s="1">
        <f t="shared" si="1057"/>
        <v>26.85652567684383</v>
      </c>
    </row>
    <row r="1720" spans="2:11" x14ac:dyDescent="0.35">
      <c r="B1720" t="str">
        <f t="shared" si="1058"/>
        <v>SPS2</v>
      </c>
      <c r="C1720" t="str">
        <f t="shared" si="1055"/>
        <v>CH</v>
      </c>
      <c r="D1720" t="s">
        <v>1752</v>
      </c>
      <c r="E1720" t="str">
        <f t="shared" si="1056"/>
        <v>PJ/yr.</v>
      </c>
      <c r="F1720" s="1">
        <f t="shared" si="1057"/>
        <v>3.0828793892936579</v>
      </c>
      <c r="G1720" s="1">
        <f t="shared" si="1057"/>
        <v>4.1475990156912266</v>
      </c>
      <c r="H1720" s="1">
        <f t="shared" si="1057"/>
        <v>2.6282391971465437</v>
      </c>
      <c r="I1720" s="1">
        <f t="shared" si="1057"/>
        <v>3.1134281497913165</v>
      </c>
      <c r="J1720" s="1">
        <f t="shared" si="1057"/>
        <v>4.0882628064009152</v>
      </c>
      <c r="K1720" s="1">
        <f t="shared" si="1057"/>
        <v>7.8928227247275592E-2</v>
      </c>
    </row>
    <row r="1721" spans="2:11" x14ac:dyDescent="0.35">
      <c r="B1721" t="str">
        <f t="shared" si="1058"/>
        <v>SPS2</v>
      </c>
      <c r="C1721" t="str">
        <f t="shared" si="1055"/>
        <v>CH</v>
      </c>
      <c r="D1721" t="s">
        <v>1753</v>
      </c>
      <c r="E1721" t="str">
        <f t="shared" si="1056"/>
        <v>PJ/yr.</v>
      </c>
      <c r="F1721" s="1">
        <f t="shared" si="1057"/>
        <v>0</v>
      </c>
      <c r="G1721" s="1">
        <f t="shared" si="1057"/>
        <v>0</v>
      </c>
      <c r="H1721" s="1">
        <f t="shared" si="1057"/>
        <v>0</v>
      </c>
      <c r="I1721" s="1">
        <f t="shared" si="1057"/>
        <v>0</v>
      </c>
      <c r="J1721" s="1">
        <f t="shared" si="1057"/>
        <v>20.318565445601521</v>
      </c>
      <c r="K1721" s="1">
        <f t="shared" si="1057"/>
        <v>42.926397601083082</v>
      </c>
    </row>
    <row r="1722" spans="2:11" x14ac:dyDescent="0.35">
      <c r="B1722" t="str">
        <f t="shared" si="1058"/>
        <v>SPS2</v>
      </c>
      <c r="C1722" t="str">
        <f t="shared" si="1055"/>
        <v>CH</v>
      </c>
      <c r="D1722" t="s">
        <v>1754</v>
      </c>
      <c r="E1722" t="str">
        <f t="shared" si="1056"/>
        <v>PJ/yr.</v>
      </c>
      <c r="F1722" s="1">
        <f t="shared" si="1057"/>
        <v>0</v>
      </c>
      <c r="G1722" s="1">
        <f t="shared" si="1057"/>
        <v>0</v>
      </c>
      <c r="H1722" s="1">
        <f t="shared" si="1057"/>
        <v>0</v>
      </c>
      <c r="I1722" s="1">
        <f t="shared" si="1057"/>
        <v>0</v>
      </c>
      <c r="J1722" s="1">
        <f t="shared" si="1057"/>
        <v>20.318565445601521</v>
      </c>
      <c r="K1722" s="1">
        <f t="shared" si="1057"/>
        <v>42.926397601083082</v>
      </c>
    </row>
    <row r="1723" spans="2:11" x14ac:dyDescent="0.35">
      <c r="B1723" t="str">
        <f t="shared" si="1058"/>
        <v>SPS2</v>
      </c>
      <c r="C1723" t="str">
        <f t="shared" si="1055"/>
        <v>CH</v>
      </c>
      <c r="D1723" t="s">
        <v>1755</v>
      </c>
      <c r="E1723" t="str">
        <f t="shared" si="1056"/>
        <v>PJ/yr.</v>
      </c>
      <c r="F1723" s="1">
        <f t="shared" si="1057"/>
        <v>0</v>
      </c>
      <c r="G1723" s="1">
        <f t="shared" si="1057"/>
        <v>0</v>
      </c>
      <c r="H1723" s="1">
        <f t="shared" si="1057"/>
        <v>0</v>
      </c>
      <c r="I1723" s="1">
        <f t="shared" si="1057"/>
        <v>0</v>
      </c>
      <c r="J1723" s="1">
        <f t="shared" si="1057"/>
        <v>0</v>
      </c>
      <c r="K1723" s="1">
        <f t="shared" si="1057"/>
        <v>0</v>
      </c>
    </row>
    <row r="1724" spans="2:11" x14ac:dyDescent="0.35">
      <c r="B1724" t="str">
        <f t="shared" si="1058"/>
        <v>SPS2</v>
      </c>
      <c r="C1724" t="str">
        <f t="shared" si="1055"/>
        <v>CH</v>
      </c>
      <c r="D1724" t="s">
        <v>1756</v>
      </c>
      <c r="E1724" t="str">
        <f t="shared" si="1056"/>
        <v>PJ/yr.</v>
      </c>
      <c r="F1724" s="1">
        <f t="shared" si="1057"/>
        <v>0</v>
      </c>
      <c r="G1724" s="1">
        <f t="shared" si="1057"/>
        <v>0</v>
      </c>
      <c r="H1724" s="1">
        <f t="shared" si="1057"/>
        <v>0</v>
      </c>
      <c r="I1724" s="1">
        <f t="shared" si="1057"/>
        <v>0</v>
      </c>
      <c r="J1724" s="1">
        <f t="shared" si="1057"/>
        <v>0</v>
      </c>
      <c r="K1724" s="1">
        <f t="shared" si="1057"/>
        <v>0</v>
      </c>
    </row>
    <row r="1725" spans="2:11" x14ac:dyDescent="0.35">
      <c r="B1725" t="str">
        <f t="shared" si="1058"/>
        <v>SPS2</v>
      </c>
      <c r="C1725" t="str">
        <f t="shared" si="1055"/>
        <v>CH</v>
      </c>
      <c r="D1725" t="s">
        <v>1757</v>
      </c>
      <c r="E1725" t="str">
        <f t="shared" si="1056"/>
        <v>PJ/yr.</v>
      </c>
      <c r="F1725" s="1">
        <f t="shared" si="1057"/>
        <v>117.2508369454024</v>
      </c>
      <c r="G1725" s="1">
        <f t="shared" si="1057"/>
        <v>106.72048805495892</v>
      </c>
      <c r="H1725" s="1">
        <f t="shared" si="1057"/>
        <v>99.004318783953778</v>
      </c>
      <c r="I1725" s="1">
        <f t="shared" si="1057"/>
        <v>77.594713662610701</v>
      </c>
      <c r="J1725" s="1">
        <f t="shared" si="1057"/>
        <v>21.980535307562359</v>
      </c>
      <c r="K1725" s="1">
        <f t="shared" si="1057"/>
        <v>2.8259319821987946E-4</v>
      </c>
    </row>
    <row r="1726" spans="2:11" x14ac:dyDescent="0.35">
      <c r="B1726" t="str">
        <f t="shared" si="1058"/>
        <v>SPS2</v>
      </c>
      <c r="C1726" t="str">
        <f t="shared" si="1055"/>
        <v>CH</v>
      </c>
      <c r="D1726" t="s">
        <v>1758</v>
      </c>
      <c r="E1726" t="str">
        <f t="shared" si="1056"/>
        <v>PJ/yr.</v>
      </c>
      <c r="F1726" s="1">
        <f t="shared" si="1057"/>
        <v>117.2508369454024</v>
      </c>
      <c r="G1726" s="1">
        <f t="shared" si="1057"/>
        <v>106.72002251896113</v>
      </c>
      <c r="H1726" s="1">
        <f t="shared" si="1057"/>
        <v>99.003901385959068</v>
      </c>
      <c r="I1726" s="1">
        <f t="shared" si="1057"/>
        <v>77.076658679987361</v>
      </c>
      <c r="J1726" s="1">
        <f t="shared" si="1057"/>
        <v>21.583239394122696</v>
      </c>
      <c r="K1726" s="1">
        <f t="shared" si="1057"/>
        <v>9.5034918813547542E-5</v>
      </c>
    </row>
    <row r="1727" spans="2:11" x14ac:dyDescent="0.35">
      <c r="B1727" t="str">
        <f t="shared" si="1058"/>
        <v>SPS2</v>
      </c>
      <c r="C1727" t="str">
        <f t="shared" si="1055"/>
        <v>CH</v>
      </c>
      <c r="D1727" t="s">
        <v>1759</v>
      </c>
      <c r="E1727" t="str">
        <f t="shared" si="1056"/>
        <v>PJ/yr.</v>
      </c>
      <c r="F1727" s="1">
        <f t="shared" si="1057"/>
        <v>117.2508369454024</v>
      </c>
      <c r="G1727" s="1">
        <f t="shared" si="1057"/>
        <v>106.72002251896113</v>
      </c>
      <c r="H1727" s="1">
        <f t="shared" si="1057"/>
        <v>99.003901385959068</v>
      </c>
      <c r="I1727" s="1">
        <f t="shared" si="1057"/>
        <v>77.071912118025338</v>
      </c>
      <c r="J1727" s="1">
        <f t="shared" si="1057"/>
        <v>21.577171349557148</v>
      </c>
      <c r="K1727" s="1">
        <f t="shared" si="1057"/>
        <v>2.545013271407467E-5</v>
      </c>
    </row>
    <row r="1728" spans="2:11" x14ac:dyDescent="0.35">
      <c r="B1728" t="str">
        <f t="shared" si="1058"/>
        <v>SPS2</v>
      </c>
      <c r="C1728" t="str">
        <f t="shared" si="1055"/>
        <v>CH</v>
      </c>
      <c r="D1728" t="s">
        <v>1760</v>
      </c>
      <c r="E1728" t="str">
        <f t="shared" si="1056"/>
        <v>PJ/yr.</v>
      </c>
      <c r="F1728" s="1">
        <f t="shared" si="1057"/>
        <v>0</v>
      </c>
      <c r="G1728" s="1">
        <f t="shared" si="1057"/>
        <v>0</v>
      </c>
      <c r="H1728" s="1">
        <f t="shared" si="1057"/>
        <v>0</v>
      </c>
      <c r="I1728" s="1">
        <f t="shared" si="1057"/>
        <v>4.746561962029652E-3</v>
      </c>
      <c r="J1728" s="1">
        <f t="shared" si="1057"/>
        <v>6.0680445655471593E-3</v>
      </c>
      <c r="K1728" s="1">
        <f t="shared" si="1057"/>
        <v>6.9584786099472873E-5</v>
      </c>
    </row>
    <row r="1729" spans="2:11" x14ac:dyDescent="0.35">
      <c r="B1729" t="str">
        <f t="shared" si="1058"/>
        <v>SPS2</v>
      </c>
      <c r="C1729" t="str">
        <f t="shared" si="1055"/>
        <v>CH</v>
      </c>
      <c r="D1729" t="s">
        <v>1761</v>
      </c>
      <c r="E1729" t="str">
        <f t="shared" si="1056"/>
        <v>PJ/yr.</v>
      </c>
      <c r="F1729" s="1">
        <f t="shared" si="1057"/>
        <v>0</v>
      </c>
      <c r="G1729" s="1">
        <f t="shared" si="1057"/>
        <v>4.6553599779240371E-4</v>
      </c>
      <c r="H1729" s="1">
        <f t="shared" si="1057"/>
        <v>4.1739799471019574E-4</v>
      </c>
      <c r="I1729" s="1">
        <f t="shared" si="1057"/>
        <v>0.51805498262333394</v>
      </c>
      <c r="J1729" s="1">
        <f t="shared" si="1057"/>
        <v>0.39729591343966275</v>
      </c>
      <c r="K1729" s="1">
        <f t="shared" si="1057"/>
        <v>1.8755827940633194E-4</v>
      </c>
    </row>
    <row r="1730" spans="2:11" x14ac:dyDescent="0.35">
      <c r="B1730" t="str">
        <f t="shared" si="1058"/>
        <v>SPS2</v>
      </c>
      <c r="C1730" t="str">
        <f t="shared" si="1055"/>
        <v>CH</v>
      </c>
      <c r="D1730" t="s">
        <v>1762</v>
      </c>
      <c r="E1730" t="str">
        <f t="shared" si="1056"/>
        <v>PJ/yr.</v>
      </c>
      <c r="F1730" s="1">
        <f t="shared" si="1057"/>
        <v>0</v>
      </c>
      <c r="G1730" s="1">
        <f t="shared" si="1057"/>
        <v>4.6553599779240371E-4</v>
      </c>
      <c r="H1730" s="1">
        <f t="shared" si="1057"/>
        <v>4.1739799471019574E-4</v>
      </c>
      <c r="I1730" s="1">
        <f t="shared" si="1057"/>
        <v>0.51805498262333394</v>
      </c>
      <c r="J1730" s="1">
        <f t="shared" si="1057"/>
        <v>0.39729591343966275</v>
      </c>
      <c r="K1730" s="1">
        <f t="shared" si="1057"/>
        <v>1.8755827940633194E-4</v>
      </c>
    </row>
    <row r="1731" spans="2:11" x14ac:dyDescent="0.35">
      <c r="B1731" t="str">
        <f t="shared" si="1058"/>
        <v>SPS2</v>
      </c>
      <c r="C1731" t="str">
        <f t="shared" si="1055"/>
        <v>CH</v>
      </c>
      <c r="D1731" t="s">
        <v>1763</v>
      </c>
      <c r="E1731" t="str">
        <f t="shared" si="1056"/>
        <v>PJ/yr.</v>
      </c>
      <c r="F1731" s="1">
        <f t="shared" si="1057"/>
        <v>0</v>
      </c>
      <c r="G1731" s="1">
        <f t="shared" si="1057"/>
        <v>4.6553599779240371E-4</v>
      </c>
      <c r="H1731" s="1">
        <f t="shared" si="1057"/>
        <v>4.1739799471019574E-4</v>
      </c>
      <c r="I1731" s="1">
        <f t="shared" si="1057"/>
        <v>0.51805498262333394</v>
      </c>
      <c r="J1731" s="1">
        <f t="shared" si="1057"/>
        <v>0.39729591343966275</v>
      </c>
      <c r="K1731" s="1">
        <f t="shared" si="1057"/>
        <v>1.8755827940633194E-4</v>
      </c>
    </row>
    <row r="1732" spans="2:11" x14ac:dyDescent="0.35">
      <c r="B1732" t="str">
        <f t="shared" si="1058"/>
        <v>SPS2</v>
      </c>
      <c r="C1732" t="str">
        <f t="shared" si="1055"/>
        <v>CH</v>
      </c>
      <c r="D1732" t="s">
        <v>1764</v>
      </c>
      <c r="E1732" t="str">
        <f t="shared" si="1056"/>
        <v>PJ/yr.</v>
      </c>
      <c r="F1732" s="1">
        <f t="shared" si="1057"/>
        <v>0</v>
      </c>
      <c r="G1732" s="1">
        <f t="shared" si="1057"/>
        <v>0</v>
      </c>
      <c r="H1732" s="1">
        <f t="shared" si="1057"/>
        <v>0</v>
      </c>
      <c r="I1732" s="1">
        <f t="shared" si="1057"/>
        <v>0</v>
      </c>
      <c r="J1732" s="1">
        <f t="shared" si="1057"/>
        <v>0</v>
      </c>
      <c r="K1732" s="1">
        <f t="shared" si="1057"/>
        <v>0</v>
      </c>
    </row>
    <row r="1733" spans="2:11" x14ac:dyDescent="0.35">
      <c r="B1733" t="str">
        <f t="shared" si="1058"/>
        <v>SPS2</v>
      </c>
      <c r="C1733" t="str">
        <f t="shared" si="1055"/>
        <v>CH</v>
      </c>
      <c r="D1733" t="s">
        <v>1765</v>
      </c>
      <c r="E1733" t="str">
        <f t="shared" si="1056"/>
        <v>PJ/yr.</v>
      </c>
      <c r="F1733" s="1">
        <f t="shared" si="1057"/>
        <v>0</v>
      </c>
      <c r="G1733" s="1">
        <f t="shared" si="1057"/>
        <v>0</v>
      </c>
      <c r="H1733" s="1">
        <f t="shared" si="1057"/>
        <v>0</v>
      </c>
      <c r="I1733" s="1">
        <f t="shared" si="1057"/>
        <v>0</v>
      </c>
      <c r="J1733" s="1">
        <f t="shared" si="1057"/>
        <v>0</v>
      </c>
      <c r="K1733" s="1">
        <f t="shared" si="1057"/>
        <v>0</v>
      </c>
    </row>
    <row r="1734" spans="2:11" x14ac:dyDescent="0.35">
      <c r="B1734" t="str">
        <f t="shared" si="1058"/>
        <v>SPS2</v>
      </c>
      <c r="C1734" t="str">
        <f t="shared" si="1055"/>
        <v>CH</v>
      </c>
      <c r="D1734" t="s">
        <v>1766</v>
      </c>
      <c r="E1734" t="str">
        <f t="shared" si="1056"/>
        <v>PJ/yr.</v>
      </c>
      <c r="F1734" s="1">
        <f t="shared" si="1057"/>
        <v>250.94828863526809</v>
      </c>
      <c r="G1734" s="1">
        <f t="shared" si="1057"/>
        <v>253.29954054305796</v>
      </c>
      <c r="H1734" s="1">
        <f t="shared" si="1057"/>
        <v>206.09702330408183</v>
      </c>
      <c r="I1734" s="1">
        <f t="shared" si="1057"/>
        <v>211.82407765614377</v>
      </c>
      <c r="J1734" s="1">
        <f t="shared" si="1057"/>
        <v>98.945514584658667</v>
      </c>
      <c r="K1734" s="1">
        <f t="shared" si="1057"/>
        <v>0</v>
      </c>
    </row>
    <row r="1735" spans="2:11" x14ac:dyDescent="0.35">
      <c r="B1735" t="str">
        <f t="shared" si="1058"/>
        <v>SPS2</v>
      </c>
      <c r="C1735" t="str">
        <f t="shared" si="1055"/>
        <v>CH</v>
      </c>
      <c r="D1735" t="s">
        <v>1767</v>
      </c>
      <c r="E1735" t="str">
        <f t="shared" si="1056"/>
        <v>PJ/yr.</v>
      </c>
      <c r="F1735" s="1">
        <f>-F56+F49</f>
        <v>-20.009991496127554</v>
      </c>
      <c r="G1735" s="1">
        <f t="shared" ref="G1735:K1735" si="1059">-G56+G49</f>
        <v>15.175150650741024</v>
      </c>
      <c r="H1735" s="1">
        <f t="shared" si="1059"/>
        <v>-4.4369927940465175</v>
      </c>
      <c r="I1735" s="1">
        <f t="shared" si="1059"/>
        <v>-1.9999967137591099</v>
      </c>
      <c r="J1735" s="1">
        <f t="shared" si="1059"/>
        <v>-1.7350597989171739</v>
      </c>
      <c r="K1735" s="1">
        <f t="shared" si="1059"/>
        <v>-2.0000008611891786</v>
      </c>
    </row>
    <row r="1736" spans="2:11" x14ac:dyDescent="0.35">
      <c r="B1736" t="str">
        <f t="shared" si="1058"/>
        <v>SPS2</v>
      </c>
      <c r="C1736" t="str">
        <f t="shared" si="1055"/>
        <v>CH</v>
      </c>
      <c r="D1736" t="s">
        <v>1768</v>
      </c>
      <c r="E1736" t="str">
        <f t="shared" si="1056"/>
        <v>PJ/yr.</v>
      </c>
      <c r="F1736" s="1">
        <f>F54</f>
        <v>0</v>
      </c>
      <c r="G1736" s="1">
        <f t="shared" ref="G1736:K1736" si="1060">G54</f>
        <v>0</v>
      </c>
      <c r="H1736" s="1">
        <f t="shared" si="1060"/>
        <v>0</v>
      </c>
      <c r="I1736" s="1">
        <f t="shared" si="1060"/>
        <v>0</v>
      </c>
      <c r="J1736" s="1">
        <f t="shared" si="1060"/>
        <v>4.5999749174174653E-5</v>
      </c>
      <c r="K1736" s="1">
        <f t="shared" si="1060"/>
        <v>4.5330844822732328E-5</v>
      </c>
    </row>
    <row r="1737" spans="2:11" x14ac:dyDescent="0.35">
      <c r="B1737" t="str">
        <f t="shared" si="1058"/>
        <v>SPS2</v>
      </c>
      <c r="C1737" t="str">
        <f t="shared" si="1055"/>
        <v>CH</v>
      </c>
      <c r="D1737" t="s">
        <v>1770</v>
      </c>
      <c r="E1737" t="str">
        <f>E3</f>
        <v>PJ/yr.</v>
      </c>
      <c r="F1737" s="1">
        <f>F3</f>
        <v>46.333864843796142</v>
      </c>
      <c r="G1737" s="1">
        <f t="shared" ref="G1737:K1737" si="1061">G3</f>
        <v>50.490525351617748</v>
      </c>
      <c r="H1737" s="1">
        <f t="shared" si="1061"/>
        <v>53.867907338111252</v>
      </c>
      <c r="I1737" s="1">
        <f t="shared" si="1061"/>
        <v>53.868285962863794</v>
      </c>
      <c r="J1737" s="1">
        <f t="shared" si="1061"/>
        <v>63.095999822276653</v>
      </c>
      <c r="K1737" s="1">
        <f t="shared" si="1061"/>
        <v>71.309367456940606</v>
      </c>
    </row>
    <row r="1738" spans="2:11" x14ac:dyDescent="0.35">
      <c r="B1738" t="str">
        <f t="shared" si="1058"/>
        <v>SPS2</v>
      </c>
      <c r="C1738" t="str">
        <f t="shared" si="1055"/>
        <v>CH</v>
      </c>
      <c r="D1738" t="s">
        <v>1771</v>
      </c>
      <c r="E1738" t="str">
        <f t="shared" ref="E1738:F1738" si="1062">E4</f>
        <v>PJ/yr.</v>
      </c>
      <c r="F1738" s="1">
        <f t="shared" si="1062"/>
        <v>11.111903223719343</v>
      </c>
      <c r="G1738" s="1">
        <f t="shared" ref="G1738:K1738" si="1063">G4</f>
        <v>11.95290756883387</v>
      </c>
      <c r="H1738" s="1">
        <f t="shared" si="1063"/>
        <v>13.357203666386715</v>
      </c>
      <c r="I1738" s="1">
        <f t="shared" si="1063"/>
        <v>15.656168931402766</v>
      </c>
      <c r="J1738" s="1">
        <f t="shared" si="1063"/>
        <v>17.11365295932568</v>
      </c>
      <c r="K1738" s="1">
        <f t="shared" si="1063"/>
        <v>18.429691912950826</v>
      </c>
    </row>
    <row r="1739" spans="2:11" x14ac:dyDescent="0.35">
      <c r="B1739" t="str">
        <f t="shared" si="1058"/>
        <v>SPS2</v>
      </c>
      <c r="C1739" t="str">
        <f t="shared" si="1055"/>
        <v>CH</v>
      </c>
      <c r="D1739" t="s">
        <v>1772</v>
      </c>
      <c r="E1739" t="str">
        <f t="shared" ref="E1739:F1739" si="1064">E5</f>
        <v>PJ/yr.</v>
      </c>
      <c r="F1739" s="1">
        <f t="shared" si="1064"/>
        <v>7.511696521954943</v>
      </c>
      <c r="G1739" s="1">
        <f t="shared" ref="G1739:K1739" si="1065">G5</f>
        <v>7.5431656216657226</v>
      </c>
      <c r="H1739" s="1">
        <f t="shared" si="1065"/>
        <v>7.5903570981293695</v>
      </c>
      <c r="I1739" s="1">
        <f t="shared" si="1065"/>
        <v>7.669038104211908</v>
      </c>
      <c r="J1739" s="1">
        <f t="shared" si="1065"/>
        <v>7.6690375494406133</v>
      </c>
      <c r="K1739" s="1">
        <f t="shared" si="1065"/>
        <v>7.66904793259644</v>
      </c>
    </row>
    <row r="1740" spans="2:11" x14ac:dyDescent="0.35">
      <c r="B1740" t="str">
        <f t="shared" si="1058"/>
        <v>SPS2</v>
      </c>
      <c r="C1740" t="str">
        <f t="shared" si="1055"/>
        <v>CH</v>
      </c>
      <c r="D1740" t="s">
        <v>1773</v>
      </c>
      <c r="E1740" t="str">
        <f t="shared" ref="E1740:F1740" si="1066">E6</f>
        <v>PJ/yr.</v>
      </c>
      <c r="F1740" s="1">
        <f t="shared" si="1066"/>
        <v>3.1682705552262749</v>
      </c>
      <c r="G1740" s="1">
        <f t="shared" ref="G1740:K1740" si="1067">G6</f>
        <v>3.4956823114895896</v>
      </c>
      <c r="H1740" s="1">
        <f t="shared" si="1067"/>
        <v>3.9868228696767529</v>
      </c>
      <c r="I1740" s="1">
        <f t="shared" si="1067"/>
        <v>4.8053900806386309</v>
      </c>
      <c r="J1740" s="1">
        <f t="shared" si="1067"/>
        <v>4.8053964936068763</v>
      </c>
      <c r="K1740" s="1">
        <f t="shared" si="1067"/>
        <v>4.8053923972638746</v>
      </c>
    </row>
    <row r="1741" spans="2:11" x14ac:dyDescent="0.35">
      <c r="B1741" t="str">
        <f t="shared" si="1058"/>
        <v>SPS2</v>
      </c>
      <c r="C1741" t="str">
        <f t="shared" si="1055"/>
        <v>CH</v>
      </c>
      <c r="D1741" t="s">
        <v>1774</v>
      </c>
      <c r="E1741" t="str">
        <f t="shared" ref="E1741:F1741" si="1068">E7</f>
        <v>PJ/yr.</v>
      </c>
      <c r="F1741" s="1">
        <f t="shared" si="1068"/>
        <v>24.54199454289558</v>
      </c>
      <c r="G1741" s="1">
        <f t="shared" ref="G1741:K1741" si="1069">G7</f>
        <v>27.49876984962857</v>
      </c>
      <c r="H1741" s="1">
        <f t="shared" si="1069"/>
        <v>28.933523703918418</v>
      </c>
      <c r="I1741" s="1">
        <f t="shared" si="1069"/>
        <v>25.737688846610489</v>
      </c>
      <c r="J1741" s="1">
        <f t="shared" si="1069"/>
        <v>33.507912819903481</v>
      </c>
      <c r="K1741" s="1">
        <f t="shared" si="1069"/>
        <v>40.405235214129462</v>
      </c>
    </row>
    <row r="1742" spans="2:11" x14ac:dyDescent="0.35">
      <c r="B1742" t="str">
        <f t="shared" si="1058"/>
        <v>SPS2</v>
      </c>
      <c r="C1742" t="str">
        <f t="shared" si="1055"/>
        <v>CH</v>
      </c>
      <c r="D1742" t="s">
        <v>1775</v>
      </c>
      <c r="E1742" t="str">
        <f t="shared" ref="E1742:F1742" si="1070">E8</f>
        <v>PJ/yr.</v>
      </c>
      <c r="F1742" s="1">
        <f t="shared" si="1070"/>
        <v>70.031704629784969</v>
      </c>
      <c r="G1742" s="1">
        <f t="shared" ref="G1742:K1742" si="1071">G8</f>
        <v>70.31990086731065</v>
      </c>
      <c r="H1742" s="1">
        <f t="shared" si="1071"/>
        <v>70.133320827473625</v>
      </c>
      <c r="I1742" s="1">
        <f t="shared" si="1071"/>
        <v>74.600168772918323</v>
      </c>
      <c r="J1742" s="1">
        <f t="shared" si="1071"/>
        <v>79.195771134986813</v>
      </c>
      <c r="K1742" s="1">
        <f t="shared" si="1071"/>
        <v>83.828058941572749</v>
      </c>
    </row>
    <row r="1743" spans="2:11" x14ac:dyDescent="0.35">
      <c r="B1743" t="str">
        <f t="shared" si="1058"/>
        <v>SPS2</v>
      </c>
      <c r="C1743" t="str">
        <f t="shared" si="1055"/>
        <v>CH</v>
      </c>
      <c r="D1743" t="s">
        <v>1776</v>
      </c>
      <c r="E1743" t="str">
        <f t="shared" ref="E1743:F1743" si="1072">E9</f>
        <v>PJ/yr.</v>
      </c>
      <c r="F1743" s="1">
        <f t="shared" si="1072"/>
        <v>35.931209771846547</v>
      </c>
      <c r="G1743" s="1">
        <f t="shared" ref="G1743:K1743" si="1073">G9</f>
        <v>36.218776929247788</v>
      </c>
      <c r="H1743" s="1">
        <f t="shared" si="1073"/>
        <v>36.032187568349471</v>
      </c>
      <c r="I1743" s="1">
        <f t="shared" si="1073"/>
        <v>37.198089783637549</v>
      </c>
      <c r="J1743" s="1">
        <f t="shared" si="1073"/>
        <v>38.08253379608724</v>
      </c>
      <c r="K1743" s="1">
        <f t="shared" si="1073"/>
        <v>39.221670937669039</v>
      </c>
    </row>
    <row r="1744" spans="2:11" x14ac:dyDescent="0.35">
      <c r="B1744" t="str">
        <f t="shared" si="1058"/>
        <v>SPS2</v>
      </c>
      <c r="C1744" t="str">
        <f t="shared" si="1055"/>
        <v>CH</v>
      </c>
      <c r="D1744" t="s">
        <v>1777</v>
      </c>
      <c r="E1744" t="str">
        <f t="shared" ref="E1744:F1744" si="1074">E10</f>
        <v>PJ/yr.</v>
      </c>
      <c r="F1744" s="1">
        <f t="shared" si="1074"/>
        <v>34.100494857938415</v>
      </c>
      <c r="G1744" s="1">
        <f t="shared" ref="G1744:K1744" si="1075">G10</f>
        <v>34.101123938062869</v>
      </c>
      <c r="H1744" s="1">
        <f t="shared" si="1075"/>
        <v>34.101133259124147</v>
      </c>
      <c r="I1744" s="1">
        <f t="shared" si="1075"/>
        <v>37.402078989280781</v>
      </c>
      <c r="J1744" s="1">
        <f t="shared" si="1075"/>
        <v>41.113237338899573</v>
      </c>
      <c r="K1744" s="1">
        <f t="shared" si="1075"/>
        <v>44.60638800390371</v>
      </c>
    </row>
    <row r="1745" spans="2:11" x14ac:dyDescent="0.35">
      <c r="B1745" t="str">
        <f t="shared" si="1058"/>
        <v>SPS2</v>
      </c>
      <c r="C1745" t="str">
        <f t="shared" si="1055"/>
        <v>CH</v>
      </c>
      <c r="D1745" t="s">
        <v>1778</v>
      </c>
      <c r="E1745" t="str">
        <f t="shared" ref="E1745:F1745" si="1076">E11</f>
        <v>PJ/yr.</v>
      </c>
      <c r="F1745" s="1">
        <f t="shared" si="1076"/>
        <v>3.7981374165030539</v>
      </c>
      <c r="G1745" s="1">
        <f t="shared" ref="G1745:K1745" si="1077">G11</f>
        <v>12.540429534987217</v>
      </c>
      <c r="H1745" s="1">
        <f t="shared" si="1077"/>
        <v>12.540446857717637</v>
      </c>
      <c r="I1745" s="1">
        <f t="shared" si="1077"/>
        <v>12.540468355927601</v>
      </c>
      <c r="J1745" s="1">
        <f t="shared" si="1077"/>
        <v>17.36027507852927</v>
      </c>
      <c r="K1745" s="1">
        <f t="shared" si="1077"/>
        <v>18.829754855565316</v>
      </c>
    </row>
    <row r="1746" spans="2:11" x14ac:dyDescent="0.35">
      <c r="B1746" t="str">
        <f t="shared" si="1058"/>
        <v>SPS2</v>
      </c>
      <c r="C1746" t="str">
        <f t="shared" si="1055"/>
        <v>CH</v>
      </c>
      <c r="D1746" t="s">
        <v>1779</v>
      </c>
      <c r="E1746" t="str">
        <f t="shared" ref="E1746:F1746" si="1078">E12</f>
        <v>PJ/yr.</v>
      </c>
      <c r="F1746" s="1">
        <f t="shared" si="1078"/>
        <v>149.43050891020553</v>
      </c>
      <c r="G1746" s="1">
        <f t="shared" ref="G1746:K1746" si="1079">G12</f>
        <v>125.61099564301975</v>
      </c>
      <c r="H1746" s="1">
        <f t="shared" si="1079"/>
        <v>144.60421894080295</v>
      </c>
      <c r="I1746" s="1">
        <f t="shared" si="1079"/>
        <v>184.76924190296492</v>
      </c>
      <c r="J1746" s="1">
        <f t="shared" si="1079"/>
        <v>155.06378417958777</v>
      </c>
      <c r="K1746" s="1">
        <f t="shared" si="1079"/>
        <v>159.23144331018531</v>
      </c>
    </row>
    <row r="1747" spans="2:11" x14ac:dyDescent="0.35">
      <c r="B1747" t="str">
        <f t="shared" si="1058"/>
        <v>SPS2</v>
      </c>
      <c r="C1747" t="str">
        <f t="shared" si="1055"/>
        <v>CH</v>
      </c>
      <c r="D1747" t="s">
        <v>1780</v>
      </c>
      <c r="E1747" t="str">
        <f t="shared" ref="E1747:F1747" si="1080">E13</f>
        <v>PJ/yr.</v>
      </c>
      <c r="F1747" s="1">
        <f t="shared" si="1080"/>
        <v>66.745680801082017</v>
      </c>
      <c r="G1747" s="1">
        <f t="shared" ref="G1747:K1747" si="1081">G13</f>
        <v>49.798798162012751</v>
      </c>
      <c r="H1747" s="1">
        <f t="shared" si="1081"/>
        <v>68.519822333982376</v>
      </c>
      <c r="I1747" s="1">
        <f t="shared" si="1081"/>
        <v>68.564272621523827</v>
      </c>
      <c r="J1747" s="1">
        <f t="shared" si="1081"/>
        <v>71.347195485573749</v>
      </c>
      <c r="K1747" s="1">
        <f t="shared" si="1081"/>
        <v>74.836062463111176</v>
      </c>
    </row>
    <row r="1748" spans="2:11" x14ac:dyDescent="0.35">
      <c r="B1748" t="str">
        <f t="shared" si="1058"/>
        <v>SPS2</v>
      </c>
      <c r="C1748" t="str">
        <f t="shared" si="1055"/>
        <v>CH</v>
      </c>
      <c r="D1748" t="s">
        <v>1781</v>
      </c>
      <c r="E1748" t="str">
        <f t="shared" ref="E1748:F1748" si="1082">E14</f>
        <v>PJ/yr.</v>
      </c>
      <c r="F1748" s="1">
        <f t="shared" si="1082"/>
        <v>66.632410606460908</v>
      </c>
      <c r="G1748" s="1">
        <f t="shared" ref="G1748:K1748" si="1083">G14</f>
        <v>55.764006821931353</v>
      </c>
      <c r="H1748" s="1">
        <f t="shared" si="1083"/>
        <v>65.566170920840051</v>
      </c>
      <c r="I1748" s="1">
        <f t="shared" si="1083"/>
        <v>66.917163236066756</v>
      </c>
      <c r="J1748" s="1">
        <f t="shared" si="1083"/>
        <v>66.967455268473685</v>
      </c>
      <c r="K1748" s="1">
        <f t="shared" si="1083"/>
        <v>67.13500508681291</v>
      </c>
    </row>
    <row r="1749" spans="2:11" x14ac:dyDescent="0.35">
      <c r="B1749" t="str">
        <f t="shared" si="1058"/>
        <v>SPS2</v>
      </c>
      <c r="C1749" t="str">
        <f t="shared" si="1055"/>
        <v>CH</v>
      </c>
      <c r="D1749" t="s">
        <v>1782</v>
      </c>
      <c r="E1749" t="str">
        <f t="shared" ref="E1749:F1749" si="1084">E15</f>
        <v>PJ/yr.</v>
      </c>
      <c r="F1749" s="1">
        <f t="shared" si="1084"/>
        <v>16.052417502662617</v>
      </c>
      <c r="G1749" s="1">
        <f t="shared" ref="G1749:K1749" si="1085">G15</f>
        <v>20.048190659075637</v>
      </c>
      <c r="H1749" s="1">
        <f t="shared" si="1085"/>
        <v>10.518225685980527</v>
      </c>
      <c r="I1749" s="1">
        <f t="shared" si="1085"/>
        <v>49.287806045374339</v>
      </c>
      <c r="J1749" s="1">
        <f t="shared" si="1085"/>
        <v>16.749133425540361</v>
      </c>
      <c r="K1749" s="1">
        <f t="shared" si="1085"/>
        <v>17.260375760261219</v>
      </c>
    </row>
    <row r="1750" spans="2:11" x14ac:dyDescent="0.35">
      <c r="B1750" t="str">
        <f t="shared" si="1058"/>
        <v>SPS2</v>
      </c>
      <c r="C1750" t="str">
        <f t="shared" si="1055"/>
        <v>CH</v>
      </c>
      <c r="D1750" t="s">
        <v>1783</v>
      </c>
      <c r="E1750" t="str">
        <f t="shared" ref="E1750:F1750" si="1086">E16</f>
        <v>PJ/yr.</v>
      </c>
      <c r="F1750" s="1">
        <f t="shared" si="1086"/>
        <v>12.556628750568752</v>
      </c>
      <c r="G1750" s="1">
        <f t="shared" ref="G1750:K1750" si="1087">G16</f>
        <v>16.524078572413828</v>
      </c>
      <c r="H1750" s="1">
        <f t="shared" si="1087"/>
        <v>30.408888195972985</v>
      </c>
      <c r="I1750" s="1">
        <f t="shared" si="1087"/>
        <v>64.437686546299503</v>
      </c>
      <c r="J1750" s="1">
        <f t="shared" si="1087"/>
        <v>124.4324782329119</v>
      </c>
      <c r="K1750" s="1">
        <f t="shared" si="1087"/>
        <v>160.45518090943628</v>
      </c>
    </row>
    <row r="1751" spans="2:11" x14ac:dyDescent="0.35">
      <c r="B1751" t="str">
        <f t="shared" si="1058"/>
        <v>SPS2</v>
      </c>
      <c r="C1751" t="str">
        <f t="shared" si="1055"/>
        <v>CH</v>
      </c>
      <c r="D1751" t="s">
        <v>1784</v>
      </c>
      <c r="E1751" t="str">
        <f t="shared" ref="E1751:F1751" si="1088">E17</f>
        <v>PJ/yr.</v>
      </c>
      <c r="F1751" s="1">
        <f t="shared" si="1088"/>
        <v>0.52406099134153838</v>
      </c>
      <c r="G1751" s="1">
        <f t="shared" ref="G1751:K1751" si="1089">G17</f>
        <v>0.54530603828007629</v>
      </c>
      <c r="H1751" s="1">
        <f t="shared" si="1089"/>
        <v>0.50317863996423018</v>
      </c>
      <c r="I1751" s="1">
        <f t="shared" si="1089"/>
        <v>2.0503198733903392</v>
      </c>
      <c r="J1751" s="1">
        <f t="shared" si="1089"/>
        <v>7.1993963438292878</v>
      </c>
      <c r="K1751" s="1">
        <f t="shared" si="1089"/>
        <v>26.77146298481885</v>
      </c>
    </row>
    <row r="1752" spans="2:11" x14ac:dyDescent="0.35">
      <c r="B1752" t="str">
        <f t="shared" si="1058"/>
        <v>SPS2</v>
      </c>
      <c r="C1752" t="str">
        <f t="shared" si="1055"/>
        <v>CH</v>
      </c>
      <c r="D1752" t="s">
        <v>1785</v>
      </c>
      <c r="E1752" t="str">
        <f t="shared" ref="E1752:F1752" si="1090">E18</f>
        <v>PJ/yr.</v>
      </c>
      <c r="F1752" s="1">
        <f t="shared" si="1090"/>
        <v>18.873373739669322</v>
      </c>
      <c r="G1752" s="1">
        <f t="shared" ref="G1752:K1752" si="1091">G18</f>
        <v>21.779738614941394</v>
      </c>
      <c r="H1752" s="1">
        <f t="shared" si="1091"/>
        <v>31.814435262441293</v>
      </c>
      <c r="I1752" s="1">
        <f t="shared" si="1091"/>
        <v>54.225898206207333</v>
      </c>
      <c r="J1752" s="1">
        <f t="shared" si="1091"/>
        <v>81.301875894324965</v>
      </c>
      <c r="K1752" s="1">
        <f t="shared" si="1091"/>
        <v>88.575822215725296</v>
      </c>
    </row>
    <row r="1753" spans="2:11" x14ac:dyDescent="0.35">
      <c r="B1753" t="str">
        <f t="shared" si="1058"/>
        <v>SPS2</v>
      </c>
      <c r="C1753" t="str">
        <f t="shared" si="1055"/>
        <v>CH</v>
      </c>
      <c r="D1753" t="s">
        <v>1786</v>
      </c>
      <c r="E1753" t="str">
        <f t="shared" ref="E1753:F1753" si="1092">E19</f>
        <v>PJ/yr.</v>
      </c>
      <c r="F1753" s="1">
        <f t="shared" si="1092"/>
        <v>0</v>
      </c>
      <c r="G1753" s="1">
        <f t="shared" ref="G1753:K1753" si="1093">G19</f>
        <v>0</v>
      </c>
      <c r="H1753" s="1">
        <f t="shared" si="1093"/>
        <v>0</v>
      </c>
      <c r="I1753" s="1">
        <f t="shared" si="1093"/>
        <v>0</v>
      </c>
      <c r="J1753" s="1">
        <f t="shared" si="1093"/>
        <v>8.7642834333739802E-2</v>
      </c>
      <c r="K1753" s="1">
        <f t="shared" si="1093"/>
        <v>0.55448157409529852</v>
      </c>
    </row>
    <row r="1754" spans="2:11" x14ac:dyDescent="0.35">
      <c r="B1754" s="9" t="str">
        <f t="shared" si="1058"/>
        <v>SPS2</v>
      </c>
      <c r="C1754" s="2" t="str">
        <f t="shared" si="1055"/>
        <v>CH</v>
      </c>
      <c r="D1754" s="2" t="s">
        <v>1789</v>
      </c>
      <c r="E1754" s="2" t="s">
        <v>1858</v>
      </c>
      <c r="F1754" s="3">
        <f t="shared" ref="F1754:K1754" si="1094">SUM(F1755,F1757,F1761,F1765,F1781,F1788,F1796,F1798,F1806,F1810,F1804)</f>
        <v>22.362014613173223</v>
      </c>
      <c r="G1754" s="3">
        <f t="shared" si="1094"/>
        <v>24.380647347795779</v>
      </c>
      <c r="H1754" s="3">
        <f t="shared" si="1094"/>
        <v>29.273193077584235</v>
      </c>
      <c r="I1754" s="3">
        <f t="shared" si="1094"/>
        <v>38.106248054879281</v>
      </c>
      <c r="J1754" s="3">
        <f t="shared" si="1094"/>
        <v>56.782316039284126</v>
      </c>
      <c r="K1754" s="3">
        <f t="shared" si="1094"/>
        <v>70.333859100735197</v>
      </c>
    </row>
    <row r="1755" spans="2:11" x14ac:dyDescent="0.35">
      <c r="B1755" s="5" t="str">
        <f t="shared" si="1058"/>
        <v>SPS2</v>
      </c>
      <c r="C1755" s="5" t="str">
        <f t="shared" si="1055"/>
        <v>CH</v>
      </c>
      <c r="D1755" t="s">
        <v>1791</v>
      </c>
      <c r="E1755" t="str">
        <f>E1754</f>
        <v>GWe/yr.</v>
      </c>
      <c r="F1755" s="1">
        <f>+F1756</f>
        <v>3.0805584212796537</v>
      </c>
      <c r="G1755" s="1">
        <f t="shared" ref="G1755:K1755" si="1095">+G1756</f>
        <v>3.0805577325510169</v>
      </c>
      <c r="H1755" s="1">
        <f t="shared" si="1095"/>
        <v>2.7155736959239474</v>
      </c>
      <c r="I1755" s="1">
        <f t="shared" si="1095"/>
        <v>2.6090401226802546</v>
      </c>
      <c r="J1755" s="1">
        <f t="shared" si="1095"/>
        <v>1.2356853758987048</v>
      </c>
      <c r="K1755" s="1">
        <f t="shared" si="1095"/>
        <v>0</v>
      </c>
    </row>
    <row r="1756" spans="2:11" x14ac:dyDescent="0.35">
      <c r="B1756" s="5" t="str">
        <f t="shared" si="1058"/>
        <v>SPS2</v>
      </c>
      <c r="C1756" s="5" t="str">
        <f t="shared" si="1055"/>
        <v>CH</v>
      </c>
      <c r="D1756" t="s">
        <v>1792</v>
      </c>
      <c r="E1756" t="str">
        <f t="shared" ref="E1756:E1817" si="1096">E1755</f>
        <v>GWe/yr.</v>
      </c>
      <c r="F1756" s="1">
        <f>'[1]Electricity and CHPs_CAP'!B$14</f>
        <v>3.0805584212796537</v>
      </c>
      <c r="G1756" s="1">
        <f>'[1]Electricity and CHPs_CAP'!C$14</f>
        <v>3.0805577325510169</v>
      </c>
      <c r="H1756" s="1">
        <f>'[1]Electricity and CHPs_CAP'!D$14</f>
        <v>2.7155736959239474</v>
      </c>
      <c r="I1756" s="1">
        <f>'[1]Electricity and CHPs_CAP'!E$14</f>
        <v>2.6090401226802546</v>
      </c>
      <c r="J1756" s="1">
        <f>'[1]Electricity and CHPs_CAP'!F$14</f>
        <v>1.2356853758987048</v>
      </c>
      <c r="K1756" s="1">
        <f>'[1]Electricity and CHPs_CAP'!G$14</f>
        <v>0</v>
      </c>
    </row>
    <row r="1757" spans="2:11" x14ac:dyDescent="0.35">
      <c r="B1757" s="5" t="str">
        <f t="shared" si="1058"/>
        <v>SPS2</v>
      </c>
      <c r="C1757" s="5" t="str">
        <f t="shared" si="1055"/>
        <v>CH</v>
      </c>
      <c r="D1757" t="s">
        <v>1793</v>
      </c>
      <c r="E1757" t="str">
        <f t="shared" si="1096"/>
        <v>GWe/yr.</v>
      </c>
      <c r="F1757" s="1">
        <f>SUM(F1758:F1760)</f>
        <v>15.403610001059999</v>
      </c>
      <c r="G1757" s="1">
        <f t="shared" ref="G1757:K1757" si="1097">SUM(G1758:G1760)</f>
        <v>16.125739198632417</v>
      </c>
      <c r="H1757" s="1">
        <f t="shared" si="1097"/>
        <v>16.610441217172653</v>
      </c>
      <c r="I1757" s="1">
        <f t="shared" si="1097"/>
        <v>16.818359884978918</v>
      </c>
      <c r="J1757" s="1">
        <f t="shared" si="1097"/>
        <v>17.183358649136412</v>
      </c>
      <c r="K1757" s="1">
        <f t="shared" si="1097"/>
        <v>17.41425837941788</v>
      </c>
    </row>
    <row r="1758" spans="2:11" x14ac:dyDescent="0.35">
      <c r="B1758" s="5" t="str">
        <f t="shared" si="1058"/>
        <v>SPS2</v>
      </c>
      <c r="C1758" s="5" t="str">
        <f t="shared" si="1055"/>
        <v>CH</v>
      </c>
      <c r="D1758" t="s">
        <v>1794</v>
      </c>
      <c r="E1758" t="str">
        <f t="shared" si="1096"/>
        <v>GWe/yr.</v>
      </c>
      <c r="F1758" s="1">
        <f>'[1]Electricity and CHPs_CAP'!B$15</f>
        <v>7.3394300010600002</v>
      </c>
      <c r="G1758" s="1">
        <f>'[1]Electricity and CHPs_CAP'!C$15</f>
        <v>7.3455482392296769</v>
      </c>
      <c r="H1758" s="1">
        <f>'[1]Electricity and CHPs_CAP'!D$15</f>
        <v>7.3850755623040563</v>
      </c>
      <c r="I1758" s="1">
        <f>'[1]Electricity and CHPs_CAP'!E$15</f>
        <v>7.4163017110811111</v>
      </c>
      <c r="J1758" s="1">
        <f>'[1]Electricity and CHPs_CAP'!F$15</f>
        <v>7.6234113108612434</v>
      </c>
      <c r="K1758" s="1">
        <f>'[1]Electricity and CHPs_CAP'!G$15</f>
        <v>7.6884339200813114</v>
      </c>
    </row>
    <row r="1759" spans="2:11" x14ac:dyDescent="0.35">
      <c r="B1759" s="5" t="str">
        <f t="shared" si="1058"/>
        <v>SPS2</v>
      </c>
      <c r="C1759" s="5" t="str">
        <f t="shared" si="1055"/>
        <v>CH</v>
      </c>
      <c r="D1759" t="s">
        <v>1795</v>
      </c>
      <c r="E1759" t="str">
        <f t="shared" si="1096"/>
        <v>GWe/yr.</v>
      </c>
      <c r="F1759" s="1">
        <f>'[1]Electricity and CHPs_CAP'!B$16</f>
        <v>4.7247299999999992</v>
      </c>
      <c r="G1759" s="1">
        <f>'[1]Electricity and CHPs_CAP'!C$16</f>
        <v>4.8084664387708811</v>
      </c>
      <c r="H1759" s="1">
        <f>'[1]Electricity and CHPs_CAP'!D$16</f>
        <v>4.8652200803577852</v>
      </c>
      <c r="I1759" s="1">
        <f>'[1]Electricity and CHPs_CAP'!E$16</f>
        <v>5.0419125993869969</v>
      </c>
      <c r="J1759" s="1">
        <f>'[1]Electricity and CHPs_CAP'!F$16</f>
        <v>5.1998009940727243</v>
      </c>
      <c r="K1759" s="1">
        <f>'[1]Electricity and CHPs_CAP'!G$16</f>
        <v>5.3656769565077242</v>
      </c>
    </row>
    <row r="1760" spans="2:11" x14ac:dyDescent="0.35">
      <c r="B1760" s="5" t="str">
        <f t="shared" si="1058"/>
        <v>SPS2</v>
      </c>
      <c r="C1760" s="5" t="str">
        <f t="shared" si="1055"/>
        <v>CH</v>
      </c>
      <c r="D1760" t="s">
        <v>1796</v>
      </c>
      <c r="E1760" t="str">
        <f t="shared" si="1096"/>
        <v>GWe/yr.</v>
      </c>
      <c r="F1760" s="1">
        <f>'[1]Electricity and CHPs_CAP'!B$17</f>
        <v>3.3394499999999998</v>
      </c>
      <c r="G1760" s="1">
        <f>'[1]Electricity and CHPs_CAP'!C$17</f>
        <v>3.9717245206318603</v>
      </c>
      <c r="H1760" s="1">
        <f>'[1]Electricity and CHPs_CAP'!D$17</f>
        <v>4.3601455745108106</v>
      </c>
      <c r="I1760" s="1">
        <f>'[1]Electricity and CHPs_CAP'!E$17</f>
        <v>4.3601455745108106</v>
      </c>
      <c r="J1760" s="1">
        <f>'[1]Electricity and CHPs_CAP'!F$17</f>
        <v>4.3601463442024446</v>
      </c>
      <c r="K1760" s="1">
        <f>'[1]Electricity and CHPs_CAP'!G$17</f>
        <v>4.3601475028288448</v>
      </c>
    </row>
    <row r="1761" spans="2:11" x14ac:dyDescent="0.35">
      <c r="B1761" s="5" t="str">
        <f t="shared" si="1058"/>
        <v>SPS2</v>
      </c>
      <c r="C1761" s="5" t="str">
        <f>C1752</f>
        <v>CH</v>
      </c>
      <c r="D1761" t="s">
        <v>1797</v>
      </c>
      <c r="E1761" t="str">
        <f t="shared" si="1096"/>
        <v>GWe/yr.</v>
      </c>
      <c r="F1761" s="1">
        <f>SUM(F1762:F1764)</f>
        <v>4.2056094172739748E-2</v>
      </c>
      <c r="G1761" s="1">
        <f t="shared" ref="G1761:K1761" si="1098">SUM(G1762:G1764)</f>
        <v>4.9792607169092368E-2</v>
      </c>
      <c r="H1761" s="1">
        <f t="shared" si="1098"/>
        <v>4.4488471832566073E-2</v>
      </c>
      <c r="I1761" s="1">
        <f t="shared" si="1098"/>
        <v>9.2361578514954329E-2</v>
      </c>
      <c r="J1761" s="1">
        <f t="shared" si="1098"/>
        <v>6.8348116305517875E-2</v>
      </c>
      <c r="K1761" s="1">
        <f t="shared" si="1098"/>
        <v>2.5943553568657496E-3</v>
      </c>
    </row>
    <row r="1762" spans="2:11" x14ac:dyDescent="0.35">
      <c r="B1762" s="5" t="str">
        <f t="shared" si="1058"/>
        <v>SPS2</v>
      </c>
      <c r="C1762" s="5" t="str">
        <f>C1761</f>
        <v>CH</v>
      </c>
      <c r="D1762" t="s">
        <v>1798</v>
      </c>
      <c r="E1762" t="str">
        <f t="shared" si="1096"/>
        <v>GWe/yr.</v>
      </c>
      <c r="F1762" s="1">
        <f>'[1]Electricity and CHPs_CAP'!B$18</f>
        <v>2.6530308010004701E-2</v>
      </c>
      <c r="G1762" s="1">
        <f>'[1]Electricity and CHPs_CAP'!C$18</f>
        <v>2.3422942391097754E-2</v>
      </c>
      <c r="H1762" s="1">
        <f>'[1]Electricity and CHPs_CAP'!D$18</f>
        <v>1.8496389995357538E-2</v>
      </c>
      <c r="I1762" s="1">
        <f>'[1]Electricity and CHPs_CAP'!E$18</f>
        <v>6.7959920014044023E-2</v>
      </c>
      <c r="J1762" s="1">
        <f>'[1]Electricity and CHPs_CAP'!F$18</f>
        <v>6.7894992271903085E-2</v>
      </c>
      <c r="K1762" s="1">
        <f>'[1]Electricity and CHPs_CAP'!G$18</f>
        <v>2.3673847399887996E-3</v>
      </c>
    </row>
    <row r="1763" spans="2:11" x14ac:dyDescent="0.35">
      <c r="B1763" s="5" t="str">
        <f t="shared" si="1058"/>
        <v>SPS2</v>
      </c>
      <c r="C1763" s="5" t="str">
        <f t="shared" ref="C1763:C1764" si="1099">C1762</f>
        <v>CH</v>
      </c>
      <c r="D1763" t="s">
        <v>1799</v>
      </c>
      <c r="E1763" t="str">
        <f t="shared" si="1096"/>
        <v>GWe/yr.</v>
      </c>
      <c r="F1763" s="1">
        <f>'[1]Electricity and CHPs_CAP'!B$28</f>
        <v>7.22315108378703E-3</v>
      </c>
      <c r="G1763" s="1">
        <f>'[1]Electricity and CHPs_CAP'!C$28</f>
        <v>3.3076193126520973E-3</v>
      </c>
      <c r="H1763" s="1">
        <f>'[1]Electricity and CHPs_CAP'!D$28</f>
        <v>2.932972179160242E-3</v>
      </c>
      <c r="I1763" s="1">
        <f>'[1]Electricity and CHPs_CAP'!E$28</f>
        <v>1.3443196613396238E-3</v>
      </c>
      <c r="J1763" s="1">
        <f>'[1]Electricity and CHPs_CAP'!F$28</f>
        <v>4.5312403361479607E-4</v>
      </c>
      <c r="K1763" s="1">
        <f>'[1]Electricity and CHPs_CAP'!G$28</f>
        <v>2.2697061687695013E-4</v>
      </c>
    </row>
    <row r="1764" spans="2:11" x14ac:dyDescent="0.35">
      <c r="B1764" s="5" t="str">
        <f t="shared" si="1058"/>
        <v>SPS2</v>
      </c>
      <c r="C1764" s="5" t="str">
        <f t="shared" si="1099"/>
        <v>CH</v>
      </c>
      <c r="D1764" t="s">
        <v>1800</v>
      </c>
      <c r="E1764" t="str">
        <f t="shared" si="1096"/>
        <v>GWe/yr.</v>
      </c>
      <c r="F1764" s="1">
        <f>'[1]Electricity and CHPs_CAP'!B$41</f>
        <v>8.3026350789480174E-3</v>
      </c>
      <c r="G1764" s="1">
        <f>'[1]Electricity and CHPs_CAP'!C$41</f>
        <v>2.3062045465342514E-2</v>
      </c>
      <c r="H1764" s="1">
        <f>'[1]Electricity and CHPs_CAP'!D$41</f>
        <v>2.3059109658048291E-2</v>
      </c>
      <c r="I1764" s="1">
        <f>'[1]Electricity and CHPs_CAP'!E$41</f>
        <v>2.3057338839570684E-2</v>
      </c>
      <c r="J1764" s="1">
        <f>'[1]Electricity and CHPs_CAP'!F$41</f>
        <v>0</v>
      </c>
      <c r="K1764" s="1">
        <f>'[1]Electricity and CHPs_CAP'!G$41</f>
        <v>0</v>
      </c>
    </row>
    <row r="1765" spans="2:11" x14ac:dyDescent="0.35">
      <c r="B1765" s="5" t="str">
        <f t="shared" si="1058"/>
        <v>SPS2</v>
      </c>
      <c r="C1765" s="5" t="str">
        <f>C1764</f>
        <v>CH</v>
      </c>
      <c r="D1765" t="s">
        <v>1801</v>
      </c>
      <c r="E1765" t="str">
        <f t="shared" si="1096"/>
        <v>GWe/yr.</v>
      </c>
      <c r="F1765" s="1">
        <f>SUM(F1766:F1780)</f>
        <v>0.23392965471665991</v>
      </c>
      <c r="G1765" s="1">
        <f t="shared" ref="G1765:K1765" si="1100">SUM(G1766:G1780)</f>
        <v>0.15717765852622723</v>
      </c>
      <c r="H1765" s="1">
        <f t="shared" si="1100"/>
        <v>0.10428622258496426</v>
      </c>
      <c r="I1765" s="1">
        <f t="shared" si="1100"/>
        <v>9.4275026535327822E-2</v>
      </c>
      <c r="J1765" s="1">
        <f t="shared" si="1100"/>
        <v>0.21493086620733023</v>
      </c>
      <c r="K1765" s="1">
        <f t="shared" si="1100"/>
        <v>0.1880925242176037</v>
      </c>
    </row>
    <row r="1766" spans="2:11" x14ac:dyDescent="0.35">
      <c r="B1766" s="5" t="str">
        <f t="shared" si="1058"/>
        <v>SPS2</v>
      </c>
      <c r="C1766" s="5" t="str">
        <f t="shared" ref="C1766:C1779" si="1101">C1765</f>
        <v>CH</v>
      </c>
      <c r="D1766" t="s">
        <v>1802</v>
      </c>
      <c r="E1766" t="str">
        <f t="shared" si="1096"/>
        <v>GWe/yr.</v>
      </c>
      <c r="F1766" s="1">
        <f>'[1]Electricity and CHPs_CAP'!B$21</f>
        <v>0</v>
      </c>
      <c r="G1766" s="1">
        <f>'[1]Electricity and CHPs_CAP'!C$21</f>
        <v>0</v>
      </c>
      <c r="H1766" s="1">
        <f>'[1]Electricity and CHPs_CAP'!D$21</f>
        <v>0</v>
      </c>
      <c r="I1766" s="1">
        <f>'[1]Electricity and CHPs_CAP'!E$21</f>
        <v>0</v>
      </c>
      <c r="J1766" s="1">
        <f>'[1]Electricity and CHPs_CAP'!F$21</f>
        <v>1.96035177734635E-5</v>
      </c>
      <c r="K1766" s="1">
        <f>'[1]Electricity and CHPs_CAP'!G$21</f>
        <v>4.2896207222777559E-4</v>
      </c>
    </row>
    <row r="1767" spans="2:11" x14ac:dyDescent="0.35">
      <c r="B1767" s="5" t="str">
        <f t="shared" si="1058"/>
        <v>SPS2</v>
      </c>
      <c r="C1767" s="5" t="str">
        <f t="shared" si="1101"/>
        <v>CH</v>
      </c>
      <c r="D1767" t="s">
        <v>1803</v>
      </c>
      <c r="E1767" t="str">
        <f t="shared" si="1096"/>
        <v>GWe/yr.</v>
      </c>
      <c r="F1767" s="1">
        <f>'[1]Electricity and CHPs_CAP'!B$22</f>
        <v>0</v>
      </c>
      <c r="G1767" s="1">
        <f>'[1]Electricity and CHPs_CAP'!C$22</f>
        <v>0</v>
      </c>
      <c r="H1767" s="1">
        <f>'[1]Electricity and CHPs_CAP'!D$22</f>
        <v>0</v>
      </c>
      <c r="I1767" s="1">
        <f>'[1]Electricity and CHPs_CAP'!E$22</f>
        <v>0</v>
      </c>
      <c r="J1767" s="1">
        <f>'[1]Electricity and CHPs_CAP'!F$22</f>
        <v>1.2694170740968976E-3</v>
      </c>
      <c r="K1767" s="1">
        <f>'[1]Electricity and CHPs_CAP'!G$22</f>
        <v>1.2797594515746827E-3</v>
      </c>
    </row>
    <row r="1768" spans="2:11" x14ac:dyDescent="0.35">
      <c r="B1768" s="5" t="str">
        <f t="shared" si="1058"/>
        <v>SPS2</v>
      </c>
      <c r="C1768" s="5" t="str">
        <f t="shared" si="1101"/>
        <v>CH</v>
      </c>
      <c r="D1768" t="s">
        <v>1804</v>
      </c>
      <c r="E1768" t="str">
        <f t="shared" si="1096"/>
        <v>GWe/yr.</v>
      </c>
      <c r="F1768" s="1">
        <f>'[1]Electricity and CHPs_CAP'!B$23</f>
        <v>0</v>
      </c>
      <c r="G1768" s="1">
        <f>'[1]Electricity and CHPs_CAP'!C$23</f>
        <v>0</v>
      </c>
      <c r="H1768" s="1">
        <f>'[1]Electricity and CHPs_CAP'!D$23</f>
        <v>0</v>
      </c>
      <c r="I1768" s="1">
        <f>'[1]Electricity and CHPs_CAP'!E$23</f>
        <v>0</v>
      </c>
      <c r="J1768" s="1">
        <f>'[1]Electricity and CHPs_CAP'!F$23</f>
        <v>0</v>
      </c>
      <c r="K1768" s="1">
        <f>'[1]Electricity and CHPs_CAP'!G$23</f>
        <v>0</v>
      </c>
    </row>
    <row r="1769" spans="2:11" x14ac:dyDescent="0.35">
      <c r="B1769" s="5" t="str">
        <f t="shared" si="1058"/>
        <v>SPS2</v>
      </c>
      <c r="C1769" s="5" t="str">
        <f t="shared" si="1101"/>
        <v>CH</v>
      </c>
      <c r="D1769" t="s">
        <v>1805</v>
      </c>
      <c r="E1769" t="str">
        <f t="shared" si="1096"/>
        <v>GWe/yr.</v>
      </c>
      <c r="F1769" s="1">
        <f>'[1]Electricity and CHPs_CAP'!B$24</f>
        <v>5.6378759612404197E-2</v>
      </c>
      <c r="G1769" s="1">
        <f>'[1]Electricity and CHPs_CAP'!C$24</f>
        <v>1.6327544129001031E-3</v>
      </c>
      <c r="H1769" s="1">
        <f>'[1]Electricity and CHPs_CAP'!D$24</f>
        <v>1.6257114630121999E-3</v>
      </c>
      <c r="I1769" s="1">
        <f>'[1]Electricity and CHPs_CAP'!E$24</f>
        <v>-1.5882325290900168E-6</v>
      </c>
      <c r="J1769" s="1">
        <f>'[1]Electricity and CHPs_CAP'!F$24</f>
        <v>0</v>
      </c>
      <c r="K1769" s="1">
        <f>'[1]Electricity and CHPs_CAP'!G$24</f>
        <v>0</v>
      </c>
    </row>
    <row r="1770" spans="2:11" x14ac:dyDescent="0.35">
      <c r="B1770" s="5" t="str">
        <f t="shared" si="1058"/>
        <v>SPS2</v>
      </c>
      <c r="C1770" s="5" t="str">
        <f t="shared" si="1101"/>
        <v>CH</v>
      </c>
      <c r="D1770" t="s">
        <v>1806</v>
      </c>
      <c r="E1770" t="str">
        <f t="shared" si="1096"/>
        <v>GWe/yr.</v>
      </c>
      <c r="F1770" s="1">
        <f>'[1]Electricity and CHPs_CAP'!B$29</f>
        <v>0</v>
      </c>
      <c r="G1770" s="1">
        <f>'[1]Electricity and CHPs_CAP'!C$29</f>
        <v>0</v>
      </c>
      <c r="H1770" s="1">
        <f>'[1]Electricity and CHPs_CAP'!D$29</f>
        <v>0</v>
      </c>
      <c r="I1770" s="1">
        <f>'[1]Electricity and CHPs_CAP'!E$29</f>
        <v>0</v>
      </c>
      <c r="J1770" s="1">
        <f>'[1]Electricity and CHPs_CAP'!F$29</f>
        <v>0</v>
      </c>
      <c r="K1770" s="1">
        <f>'[1]Electricity and CHPs_CAP'!G$29</f>
        <v>0</v>
      </c>
    </row>
    <row r="1771" spans="2:11" x14ac:dyDescent="0.35">
      <c r="B1771" s="5" t="str">
        <f t="shared" si="1058"/>
        <v>SPS2</v>
      </c>
      <c r="C1771" s="5" t="str">
        <f t="shared" si="1101"/>
        <v>CH</v>
      </c>
      <c r="D1771" t="s">
        <v>1807</v>
      </c>
      <c r="E1771" t="str">
        <f t="shared" si="1096"/>
        <v>GWe/yr.</v>
      </c>
      <c r="F1771" s="1">
        <f>'[1]Electricity and CHPs_CAP'!B$39</f>
        <v>2.5860735527169304E-2</v>
      </c>
      <c r="G1771" s="1">
        <f>'[1]Electricity and CHPs_CAP'!C$39</f>
        <v>1.9127372504588368E-2</v>
      </c>
      <c r="H1771" s="1">
        <f>'[1]Electricity and CHPs_CAP'!D$39</f>
        <v>1.2515636670231957E-2</v>
      </c>
      <c r="I1771" s="1">
        <f>'[1]Electricity and CHPs_CAP'!E$39</f>
        <v>5.8888560248377877E-3</v>
      </c>
      <c r="J1771" s="1">
        <f>'[1]Electricity and CHPs_CAP'!F$39</f>
        <v>6.6405254244868955E-2</v>
      </c>
      <c r="K1771" s="1">
        <f>'[1]Electricity and CHPs_CAP'!G$39</f>
        <v>6.4473809139384414E-2</v>
      </c>
    </row>
    <row r="1772" spans="2:11" x14ac:dyDescent="0.35">
      <c r="B1772" s="5" t="str">
        <f t="shared" si="1058"/>
        <v>SPS2</v>
      </c>
      <c r="C1772" s="5" t="str">
        <f t="shared" si="1101"/>
        <v>CH</v>
      </c>
      <c r="D1772" t="s">
        <v>1808</v>
      </c>
      <c r="E1772" t="str">
        <f t="shared" si="1096"/>
        <v>GWe/yr.</v>
      </c>
      <c r="F1772" s="1">
        <f>'[1]Electricity and CHPs_CAP'!B$40</f>
        <v>0</v>
      </c>
      <c r="G1772" s="1">
        <f>'[1]Electricity and CHPs_CAP'!C$40</f>
        <v>0</v>
      </c>
      <c r="H1772" s="1">
        <f>'[1]Electricity and CHPs_CAP'!D$40</f>
        <v>0</v>
      </c>
      <c r="I1772" s="1">
        <f>'[1]Electricity and CHPs_CAP'!E$40</f>
        <v>0</v>
      </c>
      <c r="J1772" s="1">
        <f>'[1]Electricity and CHPs_CAP'!F$40</f>
        <v>5.8837669723778904E-4</v>
      </c>
      <c r="K1772" s="1">
        <f>'[1]Electricity and CHPs_CAP'!G$40</f>
        <v>3.6889575418029556E-2</v>
      </c>
    </row>
    <row r="1773" spans="2:11" x14ac:dyDescent="0.35">
      <c r="B1773" s="5" t="str">
        <f t="shared" si="1058"/>
        <v>SPS2</v>
      </c>
      <c r="C1773" s="5" t="str">
        <f t="shared" si="1101"/>
        <v>CH</v>
      </c>
      <c r="D1773" t="s">
        <v>1809</v>
      </c>
      <c r="E1773" t="str">
        <f t="shared" si="1096"/>
        <v>GWe/yr.</v>
      </c>
      <c r="F1773" s="1">
        <f>'[1]Electricity and CHPs_CAP'!B$47</f>
        <v>0</v>
      </c>
      <c r="G1773" s="1">
        <f>'[1]Electricity and CHPs_CAP'!C$47</f>
        <v>0</v>
      </c>
      <c r="H1773" s="1">
        <f>'[1]Electricity and CHPs_CAP'!D$47</f>
        <v>0</v>
      </c>
      <c r="I1773" s="1">
        <f>'[1]Electricity and CHPs_CAP'!E$47</f>
        <v>0</v>
      </c>
      <c r="J1773" s="1">
        <f>'[1]Electricity and CHPs_CAP'!F$47</f>
        <v>5.5158179213726343E-4</v>
      </c>
      <c r="K1773" s="1">
        <f>'[1]Electricity and CHPs_CAP'!G$47</f>
        <v>2.6430182988986016E-4</v>
      </c>
    </row>
    <row r="1774" spans="2:11" x14ac:dyDescent="0.35">
      <c r="B1774" s="5" t="str">
        <f t="shared" si="1058"/>
        <v>SPS2</v>
      </c>
      <c r="C1774" s="5" t="str">
        <f t="shared" si="1101"/>
        <v>CH</v>
      </c>
      <c r="D1774" t="s">
        <v>1810</v>
      </c>
      <c r="E1774" t="str">
        <f t="shared" si="1096"/>
        <v>GWe/yr.</v>
      </c>
      <c r="F1774" s="1">
        <f>'[1]Electricity and CHPs_CAP'!B$48</f>
        <v>4.17644860082009E-3</v>
      </c>
      <c r="G1774" s="1">
        <f>'[1]Electricity and CHPs_CAP'!C$48</f>
        <v>1.5238405984654671E-3</v>
      </c>
      <c r="H1774" s="1">
        <f>'[1]Electricity and CHPs_CAP'!D$48</f>
        <v>1.4230093332485629E-3</v>
      </c>
      <c r="I1774" s="1">
        <f>'[1]Electricity and CHPs_CAP'!E$48</f>
        <v>1.0351504151835664E-3</v>
      </c>
      <c r="J1774" s="1">
        <f>'[1]Electricity and CHPs_CAP'!F$48</f>
        <v>3.314145618956094E-4</v>
      </c>
      <c r="K1774" s="1">
        <f>'[1]Electricity and CHPs_CAP'!G$48</f>
        <v>0</v>
      </c>
    </row>
    <row r="1775" spans="2:11" x14ac:dyDescent="0.35">
      <c r="B1775" s="5" t="str">
        <f t="shared" si="1058"/>
        <v>SPS2</v>
      </c>
      <c r="C1775" s="5" t="str">
        <f t="shared" si="1101"/>
        <v>CH</v>
      </c>
      <c r="D1775" t="s">
        <v>1811</v>
      </c>
      <c r="E1775" t="str">
        <f t="shared" si="1096"/>
        <v>GWe/yr.</v>
      </c>
      <c r="F1775" s="1">
        <f>'[1]Electricity and CHPs_CAP'!B$49</f>
        <v>0</v>
      </c>
      <c r="G1775" s="1">
        <f>'[1]Electricity and CHPs_CAP'!C$49</f>
        <v>0</v>
      </c>
      <c r="H1775" s="1">
        <f>'[1]Electricity and CHPs_CAP'!D$49</f>
        <v>0</v>
      </c>
      <c r="I1775" s="1">
        <f>'[1]Electricity and CHPs_CAP'!E$49</f>
        <v>0</v>
      </c>
      <c r="J1775" s="1">
        <f>'[1]Electricity and CHPs_CAP'!F$49</f>
        <v>0</v>
      </c>
      <c r="K1775" s="1">
        <f>'[1]Electricity and CHPs_CAP'!G$49</f>
        <v>0</v>
      </c>
    </row>
    <row r="1776" spans="2:11" x14ac:dyDescent="0.35">
      <c r="B1776" s="5" t="str">
        <f t="shared" si="1058"/>
        <v>SPS2</v>
      </c>
      <c r="C1776" s="5" t="str">
        <f t="shared" si="1101"/>
        <v>CH</v>
      </c>
      <c r="D1776" t="s">
        <v>1812</v>
      </c>
      <c r="E1776" t="str">
        <f t="shared" si="1096"/>
        <v>GWe/yr.</v>
      </c>
      <c r="F1776" s="1">
        <f>'[1]Electricity and CHPs_CAP'!B$51</f>
        <v>8.802762795919631E-3</v>
      </c>
      <c r="G1776" s="1">
        <f>'[1]Electricity and CHPs_CAP'!C$51</f>
        <v>2.261337539816376E-3</v>
      </c>
      <c r="H1776" s="1">
        <f>'[1]Electricity and CHPs_CAP'!D$51</f>
        <v>2.2588548680218638E-3</v>
      </c>
      <c r="I1776" s="1">
        <f>'[1]Electricity and CHPs_CAP'!E$51</f>
        <v>2.2555392998097933E-3</v>
      </c>
      <c r="J1776" s="1">
        <f>'[1]Electricity and CHPs_CAP'!F$51</f>
        <v>9.1090124439570114E-4</v>
      </c>
      <c r="K1776" s="1">
        <f>'[1]Electricity and CHPs_CAP'!G$51</f>
        <v>0</v>
      </c>
    </row>
    <row r="1777" spans="2:11" x14ac:dyDescent="0.35">
      <c r="B1777" s="5" t="str">
        <f t="shared" si="1058"/>
        <v>SPS2</v>
      </c>
      <c r="C1777" s="5" t="str">
        <f t="shared" si="1101"/>
        <v>CH</v>
      </c>
      <c r="D1777" t="s">
        <v>1813</v>
      </c>
      <c r="E1777" t="str">
        <f t="shared" si="1096"/>
        <v>GWe/yr.</v>
      </c>
      <c r="F1777" s="1">
        <f>'[1]Electricity and CHPs_CAP'!B$52</f>
        <v>0</v>
      </c>
      <c r="G1777" s="1">
        <f>'[1]Electricity and CHPs_CAP'!C$52</f>
        <v>0</v>
      </c>
      <c r="H1777" s="1">
        <f>'[1]Electricity and CHPs_CAP'!D$52</f>
        <v>0</v>
      </c>
      <c r="I1777" s="1">
        <f>'[1]Electricity and CHPs_CAP'!E$52</f>
        <v>0</v>
      </c>
      <c r="J1777" s="1">
        <f>'[1]Electricity and CHPs_CAP'!F$52</f>
        <v>0</v>
      </c>
      <c r="K1777" s="1">
        <f>'[1]Electricity and CHPs_CAP'!G$52</f>
        <v>0</v>
      </c>
    </row>
    <row r="1778" spans="2:11" x14ac:dyDescent="0.35">
      <c r="B1778" s="5" t="str">
        <f t="shared" si="1058"/>
        <v>SPS2</v>
      </c>
      <c r="C1778" s="5" t="str">
        <f t="shared" si="1101"/>
        <v>CH</v>
      </c>
      <c r="D1778" t="s">
        <v>1814</v>
      </c>
      <c r="E1778" t="str">
        <f t="shared" si="1096"/>
        <v>GWe/yr.</v>
      </c>
      <c r="F1778" s="1">
        <f>'[1]Electricity and CHPs_CAP'!B$54</f>
        <v>7.3511680318082112E-2</v>
      </c>
      <c r="G1778" s="1">
        <f>'[1]Electricity and CHPs_CAP'!C$54</f>
        <v>8.4755074678503697E-2</v>
      </c>
      <c r="H1778" s="1">
        <f>'[1]Electricity and CHPs_CAP'!D$54</f>
        <v>8.475449682011417E-2</v>
      </c>
      <c r="I1778" s="1">
        <f>'[1]Electricity and CHPs_CAP'!E$54</f>
        <v>8.4768400899026861E-2</v>
      </c>
      <c r="J1778" s="1">
        <f>'[1]Electricity and CHPs_CAP'!F$54</f>
        <v>0.14468414052706316</v>
      </c>
      <c r="K1778" s="1">
        <f>'[1]Electricity and CHPs_CAP'!G$54</f>
        <v>8.4756116306497417E-2</v>
      </c>
    </row>
    <row r="1779" spans="2:11" x14ac:dyDescent="0.35">
      <c r="B1779" s="5" t="str">
        <f t="shared" si="1058"/>
        <v>SPS2</v>
      </c>
      <c r="C1779" s="5" t="str">
        <f t="shared" si="1101"/>
        <v>CH</v>
      </c>
      <c r="D1779" t="s">
        <v>1815</v>
      </c>
      <c r="E1779" t="str">
        <f t="shared" si="1096"/>
        <v>GWe/yr.</v>
      </c>
      <c r="F1779" s="1">
        <f>'[1]Electricity and CHPs_CAP'!B$55</f>
        <v>6.519926786226457E-2</v>
      </c>
      <c r="G1779" s="1">
        <f>'[1]Electricity and CHPs_CAP'!C$55</f>
        <v>4.7877278791953207E-2</v>
      </c>
      <c r="H1779" s="1">
        <f>'[1]Electricity and CHPs_CAP'!D$55</f>
        <v>1.7085134303354982E-3</v>
      </c>
      <c r="I1779" s="1">
        <f>'[1]Electricity and CHPs_CAP'!E$55</f>
        <v>3.2866812899889908E-4</v>
      </c>
      <c r="J1779" s="1">
        <f>'[1]Electricity and CHPs_CAP'!F$55</f>
        <v>1.7017654786140139E-4</v>
      </c>
      <c r="K1779" s="1">
        <f>'[1]Electricity and CHPs_CAP'!G$55</f>
        <v>0</v>
      </c>
    </row>
    <row r="1780" spans="2:11" x14ac:dyDescent="0.35">
      <c r="B1780" s="5" t="str">
        <f t="shared" ref="B1780:B1843" si="1102">B1779</f>
        <v>SPS2</v>
      </c>
      <c r="C1780" s="5" t="str">
        <f t="shared" ref="C1780" si="1103">C1779</f>
        <v>CH</v>
      </c>
      <c r="D1780" t="s">
        <v>1816</v>
      </c>
      <c r="E1780" t="str">
        <f t="shared" si="1096"/>
        <v>GWe/yr.</v>
      </c>
      <c r="F1780" s="1">
        <f>'[1]Electricity and CHPs_CAP'!B$58</f>
        <v>0</v>
      </c>
      <c r="G1780" s="1">
        <f>'[1]Electricity and CHPs_CAP'!C$58</f>
        <v>0</v>
      </c>
      <c r="H1780" s="1">
        <f>'[1]Electricity and CHPs_CAP'!D$58</f>
        <v>0</v>
      </c>
      <c r="I1780" s="1">
        <f>'[1]Electricity and CHPs_CAP'!E$58</f>
        <v>0</v>
      </c>
      <c r="J1780" s="1">
        <f>'[1]Electricity and CHPs_CAP'!F$58</f>
        <v>0</v>
      </c>
      <c r="K1780" s="1">
        <f>'[1]Electricity and CHPs_CAP'!G$58</f>
        <v>0</v>
      </c>
    </row>
    <row r="1781" spans="2:11" x14ac:dyDescent="0.35">
      <c r="B1781" s="5" t="str">
        <f t="shared" si="1102"/>
        <v>SPS2</v>
      </c>
      <c r="C1781" s="5" t="str">
        <f>C1780</f>
        <v>CH</v>
      </c>
      <c r="D1781" t="s">
        <v>1817</v>
      </c>
      <c r="E1781" t="str">
        <f t="shared" si="1096"/>
        <v>GWe/yr.</v>
      </c>
      <c r="F1781" s="1">
        <f>SUM(F1782:F1787)</f>
        <v>0.41047816866232301</v>
      </c>
      <c r="G1781" s="1">
        <f t="shared" ref="G1781:K1781" si="1104">SUM(G1782:G1787)</f>
        <v>0.37157353596817316</v>
      </c>
      <c r="H1781" s="1">
        <f t="shared" si="1104"/>
        <v>0.37156871724478996</v>
      </c>
      <c r="I1781" s="1">
        <f t="shared" si="1104"/>
        <v>0.38082026111553757</v>
      </c>
      <c r="J1781" s="1">
        <f t="shared" si="1104"/>
        <v>0.48306928467580362</v>
      </c>
      <c r="K1781" s="1">
        <f t="shared" si="1104"/>
        <v>0.55541485928971013</v>
      </c>
    </row>
    <row r="1782" spans="2:11" x14ac:dyDescent="0.35">
      <c r="B1782" s="5" t="str">
        <f t="shared" si="1102"/>
        <v>SPS2</v>
      </c>
      <c r="C1782" s="5" t="str">
        <f t="shared" ref="C1782:C1787" si="1105">C1781</f>
        <v>CH</v>
      </c>
      <c r="D1782" t="s">
        <v>1818</v>
      </c>
      <c r="E1782" t="str">
        <f t="shared" si="1096"/>
        <v>GWe/yr.</v>
      </c>
      <c r="F1782" s="1">
        <f>'[1]Electricity and CHPs_CAP'!B$19</f>
        <v>0.2841398614609244</v>
      </c>
      <c r="G1782" s="1">
        <f>'[1]Electricity and CHPs_CAP'!C$19</f>
        <v>0.28413210602461564</v>
      </c>
      <c r="H1782" s="1">
        <f>'[1]Electricity and CHPs_CAP'!D$19</f>
        <v>0.28413029738717549</v>
      </c>
      <c r="I1782" s="1">
        <f>'[1]Electricity and CHPs_CAP'!E$19</f>
        <v>0.29177973670791019</v>
      </c>
      <c r="J1782" s="1">
        <f>'[1]Electricity and CHPs_CAP'!F$19</f>
        <v>0.27685667017878107</v>
      </c>
      <c r="K1782" s="1">
        <f>'[1]Electricity and CHPs_CAP'!G$19</f>
        <v>0.20285892184130963</v>
      </c>
    </row>
    <row r="1783" spans="2:11" x14ac:dyDescent="0.35">
      <c r="B1783" s="5" t="str">
        <f t="shared" si="1102"/>
        <v>SPS2</v>
      </c>
      <c r="C1783" s="5" t="str">
        <f t="shared" si="1105"/>
        <v>CH</v>
      </c>
      <c r="D1783" t="s">
        <v>1819</v>
      </c>
      <c r="E1783" t="str">
        <f t="shared" si="1096"/>
        <v>GWe/yr.</v>
      </c>
      <c r="F1783" s="1">
        <f>'[1]Electricity and CHPs_CAP'!B$20</f>
        <v>0</v>
      </c>
      <c r="G1783" s="1">
        <f>'[1]Electricity and CHPs_CAP'!C$20</f>
        <v>0</v>
      </c>
      <c r="H1783" s="1">
        <f>'[1]Electricity and CHPs_CAP'!D$20</f>
        <v>0</v>
      </c>
      <c r="I1783" s="1">
        <f>'[1]Electricity and CHPs_CAP'!E$20</f>
        <v>0</v>
      </c>
      <c r="J1783" s="1">
        <f>'[1]Electricity and CHPs_CAP'!F$20</f>
        <v>9.8629412737821595E-2</v>
      </c>
      <c r="K1783" s="1">
        <f>'[1]Electricity and CHPs_CAP'!G$20</f>
        <v>0.18264339714632585</v>
      </c>
    </row>
    <row r="1784" spans="2:11" x14ac:dyDescent="0.35">
      <c r="B1784" s="5" t="str">
        <f t="shared" si="1102"/>
        <v>SPS2</v>
      </c>
      <c r="C1784" s="5" t="str">
        <f t="shared" si="1105"/>
        <v>CH</v>
      </c>
      <c r="D1784" t="s">
        <v>1820</v>
      </c>
      <c r="E1784" t="str">
        <f t="shared" si="1096"/>
        <v>GWe/yr.</v>
      </c>
      <c r="F1784" s="1">
        <f>'[1]Electricity and CHPs_CAP'!B$26</f>
        <v>7.8399833688503992E-2</v>
      </c>
      <c r="G1784" s="1">
        <f>'[1]Electricity and CHPs_CAP'!C$26</f>
        <v>7.3601073736050238E-2</v>
      </c>
      <c r="H1784" s="1">
        <f>'[1]Electricity and CHPs_CAP'!D$26</f>
        <v>7.3598826120257158E-2</v>
      </c>
      <c r="I1784" s="1">
        <f>'[1]Electricity and CHPs_CAP'!E$26</f>
        <v>7.4521877897546468E-2</v>
      </c>
      <c r="J1784" s="1">
        <f>'[1]Electricity and CHPs_CAP'!F$26</f>
        <v>6.141263323281889E-2</v>
      </c>
      <c r="K1784" s="1">
        <f>'[1]Electricity and CHPs_CAP'!G$26</f>
        <v>5.4957674185223876E-2</v>
      </c>
    </row>
    <row r="1785" spans="2:11" x14ac:dyDescent="0.35">
      <c r="B1785" s="5" t="str">
        <f t="shared" si="1102"/>
        <v>SPS2</v>
      </c>
      <c r="C1785" s="5" t="str">
        <f t="shared" si="1105"/>
        <v>CH</v>
      </c>
      <c r="D1785" t="s">
        <v>1821</v>
      </c>
      <c r="E1785" t="str">
        <f t="shared" si="1096"/>
        <v>GWe/yr.</v>
      </c>
      <c r="F1785" s="1">
        <f>'[1]Electricity and CHPs_CAP'!B$27</f>
        <v>0</v>
      </c>
      <c r="G1785" s="1">
        <f>'[1]Electricity and CHPs_CAP'!C$27</f>
        <v>0</v>
      </c>
      <c r="H1785" s="1">
        <f>'[1]Electricity and CHPs_CAP'!D$27</f>
        <v>0</v>
      </c>
      <c r="I1785" s="1">
        <f>'[1]Electricity and CHPs_CAP'!E$27</f>
        <v>0</v>
      </c>
      <c r="J1785" s="1">
        <f>'[1]Electricity and CHPs_CAP'!F$27</f>
        <v>2.7134198680859398E-2</v>
      </c>
      <c r="K1785" s="1">
        <f>'[1]Electricity and CHPs_CAP'!G$27</f>
        <v>4.8850605742480062E-2</v>
      </c>
    </row>
    <row r="1786" spans="2:11" x14ac:dyDescent="0.35">
      <c r="B1786" s="5" t="str">
        <f t="shared" si="1102"/>
        <v>SPS2</v>
      </c>
      <c r="C1786" s="5" t="str">
        <f t="shared" si="1105"/>
        <v>CH</v>
      </c>
      <c r="D1786" t="s">
        <v>1822</v>
      </c>
      <c r="E1786" t="str">
        <f t="shared" si="1096"/>
        <v>GWe/yr.</v>
      </c>
      <c r="F1786" s="1">
        <f>'[1]Electricity and CHPs_CAP'!B$44</f>
        <v>4.7938473512894611E-2</v>
      </c>
      <c r="G1786" s="1">
        <f>'[1]Electricity and CHPs_CAP'!C$44</f>
        <v>1.3840356207507287E-2</v>
      </c>
      <c r="H1786" s="1">
        <f>'[1]Electricity and CHPs_CAP'!D$44</f>
        <v>1.3839593737357304E-2</v>
      </c>
      <c r="I1786" s="1">
        <f>'[1]Electricity and CHPs_CAP'!E$44</f>
        <v>1.4518646510080956E-2</v>
      </c>
      <c r="J1786" s="1">
        <f>'[1]Electricity and CHPs_CAP'!F$44</f>
        <v>1.4529302276711616E-2</v>
      </c>
      <c r="K1786" s="1">
        <f>'[1]Electricity and CHPs_CAP'!G$44</f>
        <v>2.1970507821576953E-4</v>
      </c>
    </row>
    <row r="1787" spans="2:11" x14ac:dyDescent="0.35">
      <c r="B1787" s="5" t="str">
        <f t="shared" si="1102"/>
        <v>SPS2</v>
      </c>
      <c r="C1787" s="5" t="str">
        <f t="shared" si="1105"/>
        <v>CH</v>
      </c>
      <c r="D1787" t="s">
        <v>1823</v>
      </c>
      <c r="E1787" t="str">
        <f t="shared" si="1096"/>
        <v>GWe/yr.</v>
      </c>
      <c r="F1787" s="1">
        <f>'[1]Electricity and CHPs_CAP'!B$45</f>
        <v>0</v>
      </c>
      <c r="G1787" s="1">
        <f>'[1]Electricity and CHPs_CAP'!C$45</f>
        <v>0</v>
      </c>
      <c r="H1787" s="1">
        <f>'[1]Electricity and CHPs_CAP'!D$45</f>
        <v>0</v>
      </c>
      <c r="I1787" s="1">
        <f>'[1]Electricity and CHPs_CAP'!E$45</f>
        <v>0</v>
      </c>
      <c r="J1787" s="1">
        <f>'[1]Electricity and CHPs_CAP'!F$45</f>
        <v>4.50706756881102E-3</v>
      </c>
      <c r="K1787" s="1">
        <f>'[1]Electricity and CHPs_CAP'!G$45</f>
        <v>6.5884555296154917E-2</v>
      </c>
    </row>
    <row r="1788" spans="2:11" x14ac:dyDescent="0.35">
      <c r="B1788" s="5" t="str">
        <f t="shared" si="1102"/>
        <v>SPS2</v>
      </c>
      <c r="C1788" s="5" t="str">
        <f>C1787</f>
        <v>CH</v>
      </c>
      <c r="D1788" t="s">
        <v>1824</v>
      </c>
      <c r="E1788" t="str">
        <f t="shared" si="1096"/>
        <v>GWe/yr.</v>
      </c>
      <c r="F1788" s="1">
        <f>SUM(F1789:F1795)</f>
        <v>1.7415230112174544E-2</v>
      </c>
      <c r="G1788" s="1">
        <f t="shared" ref="G1788:K1788" si="1106">SUM(G1789:G1795)</f>
        <v>2.1931395048353654E-2</v>
      </c>
      <c r="H1788" s="1">
        <f t="shared" si="1106"/>
        <v>4.2032720033663526E-2</v>
      </c>
      <c r="I1788" s="1">
        <f t="shared" si="1106"/>
        <v>6.5828211665820355E-2</v>
      </c>
      <c r="J1788" s="1">
        <f t="shared" si="1106"/>
        <v>0.21822108006552357</v>
      </c>
      <c r="K1788" s="1">
        <f t="shared" si="1106"/>
        <v>0.2701264608600128</v>
      </c>
    </row>
    <row r="1789" spans="2:11" x14ac:dyDescent="0.35">
      <c r="B1789" s="5" t="str">
        <f t="shared" si="1102"/>
        <v>SPS2</v>
      </c>
      <c r="C1789" s="5" t="str">
        <f t="shared" ref="C1789:C1799" si="1107">C1788</f>
        <v>CH</v>
      </c>
      <c r="D1789" t="s">
        <v>1825</v>
      </c>
      <c r="E1789" t="str">
        <f t="shared" si="1096"/>
        <v>GWe/yr.</v>
      </c>
      <c r="F1789" s="1">
        <f>'[1]Electricity and CHPs_CAP'!B$25</f>
        <v>8.6311829664357034E-3</v>
      </c>
      <c r="G1789" s="1">
        <f>'[1]Electricity and CHPs_CAP'!C$25</f>
        <v>2.9919788441186354E-3</v>
      </c>
      <c r="H1789" s="1">
        <f>'[1]Electricity and CHPs_CAP'!D$25</f>
        <v>5.3337474010674291E-4</v>
      </c>
      <c r="I1789" s="1">
        <f>'[1]Electricity and CHPs_CAP'!E$25</f>
        <v>5.417636799411249E-4</v>
      </c>
      <c r="J1789" s="1">
        <f>'[1]Electricity and CHPs_CAP'!F$25</f>
        <v>4.9947180431427304E-2</v>
      </c>
      <c r="K1789" s="1">
        <f>'[1]Electricity and CHPs_CAP'!G$25</f>
        <v>4.9766516712487739E-2</v>
      </c>
    </row>
    <row r="1790" spans="2:11" x14ac:dyDescent="0.35">
      <c r="B1790" s="5" t="str">
        <f t="shared" si="1102"/>
        <v>SPS2</v>
      </c>
      <c r="C1790" s="5" t="str">
        <f t="shared" si="1107"/>
        <v>CH</v>
      </c>
      <c r="D1790" t="s">
        <v>1826</v>
      </c>
      <c r="E1790" t="str">
        <f t="shared" si="1096"/>
        <v>GWe/yr.</v>
      </c>
      <c r="F1790" s="1">
        <f>'[1]Electricity and CHPs_CAP'!B$31</f>
        <v>0</v>
      </c>
      <c r="G1790" s="1">
        <f>'[1]Electricity and CHPs_CAP'!C$31</f>
        <v>0</v>
      </c>
      <c r="H1790" s="1">
        <f>'[1]Electricity and CHPs_CAP'!D$31</f>
        <v>0</v>
      </c>
      <c r="I1790" s="1">
        <f>'[1]Electricity and CHPs_CAP'!E$31</f>
        <v>0</v>
      </c>
      <c r="J1790" s="1">
        <f>'[1]Electricity and CHPs_CAP'!F$31</f>
        <v>1.6993368648148501E-4</v>
      </c>
      <c r="K1790" s="1">
        <f>'[1]Electricity and CHPs_CAP'!G$31</f>
        <v>2.1776818533828814E-2</v>
      </c>
    </row>
    <row r="1791" spans="2:11" x14ac:dyDescent="0.35">
      <c r="B1791" s="5" t="str">
        <f t="shared" si="1102"/>
        <v>SPS2</v>
      </c>
      <c r="C1791" s="5" t="str">
        <f t="shared" si="1107"/>
        <v>CH</v>
      </c>
      <c r="D1791" t="s">
        <v>1827</v>
      </c>
      <c r="E1791" t="str">
        <f t="shared" si="1096"/>
        <v>GWe/yr.</v>
      </c>
      <c r="F1791" s="1">
        <f>'[1]Electricity and CHPs_CAP'!B$42</f>
        <v>8.7840471457388408E-3</v>
      </c>
      <c r="G1791" s="1">
        <f>'[1]Electricity and CHPs_CAP'!C$42</f>
        <v>1.8939416204235018E-2</v>
      </c>
      <c r="H1791" s="1">
        <f>'[1]Electricity and CHPs_CAP'!D$42</f>
        <v>4.1499345293556783E-2</v>
      </c>
      <c r="I1791" s="1">
        <f>'[1]Electricity and CHPs_CAP'!E$42</f>
        <v>6.4488494439412083E-2</v>
      </c>
      <c r="J1791" s="1">
        <f>'[1]Electricity and CHPs_CAP'!F$42</f>
        <v>6.4454311166760883E-2</v>
      </c>
      <c r="K1791" s="1">
        <f>'[1]Electricity and CHPs_CAP'!G$42</f>
        <v>2.5958718658327749E-2</v>
      </c>
    </row>
    <row r="1792" spans="2:11" x14ac:dyDescent="0.35">
      <c r="B1792" s="5" t="str">
        <f t="shared" si="1102"/>
        <v>SPS2</v>
      </c>
      <c r="C1792" s="5" t="str">
        <f t="shared" si="1107"/>
        <v>CH</v>
      </c>
      <c r="D1792" t="s">
        <v>1828</v>
      </c>
      <c r="E1792" t="str">
        <f t="shared" si="1096"/>
        <v>GWe/yr.</v>
      </c>
      <c r="F1792" s="1">
        <f>'[1]Electricity and CHPs_CAP'!B$43</f>
        <v>0</v>
      </c>
      <c r="G1792" s="1">
        <f>'[1]Electricity and CHPs_CAP'!C$43</f>
        <v>0</v>
      </c>
      <c r="H1792" s="1">
        <f>'[1]Electricity and CHPs_CAP'!D$43</f>
        <v>0</v>
      </c>
      <c r="I1792" s="1">
        <f>'[1]Electricity and CHPs_CAP'!E$43</f>
        <v>0</v>
      </c>
      <c r="J1792" s="1">
        <f>'[1]Electricity and CHPs_CAP'!F$43</f>
        <v>9.3917497592637997E-2</v>
      </c>
      <c r="K1792" s="1">
        <f>'[1]Electricity and CHPs_CAP'!G$43</f>
        <v>0.17124766233377101</v>
      </c>
    </row>
    <row r="1793" spans="2:11" x14ac:dyDescent="0.35">
      <c r="B1793" s="5" t="str">
        <f t="shared" si="1102"/>
        <v>SPS2</v>
      </c>
      <c r="C1793" s="5" t="str">
        <f t="shared" si="1107"/>
        <v>CH</v>
      </c>
      <c r="D1793" t="s">
        <v>1829</v>
      </c>
      <c r="E1793" t="str">
        <f t="shared" si="1096"/>
        <v>GWe/yr.</v>
      </c>
      <c r="F1793" s="1">
        <f>'[1]Electricity and CHPs_CAP'!B$50</f>
        <v>0</v>
      </c>
      <c r="G1793" s="1">
        <f>'[1]Electricity and CHPs_CAP'!C$50</f>
        <v>0</v>
      </c>
      <c r="H1793" s="1">
        <f>'[1]Electricity and CHPs_CAP'!D$50</f>
        <v>0</v>
      </c>
      <c r="I1793" s="1">
        <f>'[1]Electricity and CHPs_CAP'!E$50</f>
        <v>2.3540209900740401E-4</v>
      </c>
      <c r="J1793" s="1">
        <f>'[1]Electricity and CHPs_CAP'!F$50</f>
        <v>6.5502013731506489E-4</v>
      </c>
      <c r="K1793" s="1">
        <f>'[1]Electricity and CHPs_CAP'!G$50</f>
        <v>2.8595766156076004E-4</v>
      </c>
    </row>
    <row r="1794" spans="2:11" x14ac:dyDescent="0.35">
      <c r="B1794" s="5" t="str">
        <f t="shared" si="1102"/>
        <v>SPS2</v>
      </c>
      <c r="C1794" s="5" t="str">
        <f t="shared" si="1107"/>
        <v>CH</v>
      </c>
      <c r="D1794" t="s">
        <v>1830</v>
      </c>
      <c r="E1794" t="str">
        <f t="shared" si="1096"/>
        <v>GWe/yr.</v>
      </c>
      <c r="F1794" s="1">
        <f>'[1]Electricity and CHPs_CAP'!B$53</f>
        <v>0</v>
      </c>
      <c r="G1794" s="1">
        <f>'[1]Electricity and CHPs_CAP'!C$53</f>
        <v>0</v>
      </c>
      <c r="H1794" s="1">
        <f>'[1]Electricity and CHPs_CAP'!D$53</f>
        <v>0</v>
      </c>
      <c r="I1794" s="1">
        <f>'[1]Electricity and CHPs_CAP'!E$53</f>
        <v>3.9477437322836203E-4</v>
      </c>
      <c r="J1794" s="1">
        <f>'[1]Electricity and CHPs_CAP'!F$53</f>
        <v>8.828205537795137E-3</v>
      </c>
      <c r="K1794" s="1">
        <f>'[1]Electricity and CHPs_CAP'!G$53</f>
        <v>9.2391287211307039E-4</v>
      </c>
    </row>
    <row r="1795" spans="2:11" x14ac:dyDescent="0.35">
      <c r="B1795" s="5" t="str">
        <f t="shared" si="1102"/>
        <v>SPS2</v>
      </c>
      <c r="C1795" s="5" t="str">
        <f t="shared" si="1107"/>
        <v>CH</v>
      </c>
      <c r="D1795" t="s">
        <v>1831</v>
      </c>
      <c r="E1795" t="str">
        <f t="shared" si="1096"/>
        <v>GWe/yr.</v>
      </c>
      <c r="F1795" s="1">
        <f>'[1]Electricity and CHPs_CAP'!B$56</f>
        <v>0</v>
      </c>
      <c r="G1795" s="1">
        <f>'[1]Electricity and CHPs_CAP'!C$56</f>
        <v>0</v>
      </c>
      <c r="H1795" s="1">
        <f>'[1]Electricity and CHPs_CAP'!D$56</f>
        <v>0</v>
      </c>
      <c r="I1795" s="1">
        <f>'[1]Electricity and CHPs_CAP'!E$56</f>
        <v>1.6777707423138E-4</v>
      </c>
      <c r="J1795" s="1">
        <f>'[1]Electricity and CHPs_CAP'!F$56</f>
        <v>2.4893151310567143E-4</v>
      </c>
      <c r="K1795" s="1">
        <f>'[1]Electricity and CHPs_CAP'!G$56</f>
        <v>1.6687408792364565E-4</v>
      </c>
    </row>
    <row r="1796" spans="2:11" x14ac:dyDescent="0.35">
      <c r="B1796" s="5" t="str">
        <f t="shared" si="1102"/>
        <v>SPS2</v>
      </c>
      <c r="C1796" s="5" t="str">
        <f t="shared" si="1107"/>
        <v>CH</v>
      </c>
      <c r="D1796" t="s">
        <v>1832</v>
      </c>
      <c r="E1796" t="str">
        <f t="shared" si="1096"/>
        <v>GWe/yr.</v>
      </c>
      <c r="F1796" s="1">
        <f>F1797</f>
        <v>8.7120000000000003E-2</v>
      </c>
      <c r="G1796" s="1">
        <f t="shared" ref="G1796:K1796" si="1108">G1797</f>
        <v>9.0660810654514645E-2</v>
      </c>
      <c r="H1796" s="1">
        <f t="shared" si="1108"/>
        <v>8.3656728148443646E-2</v>
      </c>
      <c r="I1796" s="1">
        <f t="shared" si="1108"/>
        <v>0.34087709206847033</v>
      </c>
      <c r="J1796" s="1">
        <f t="shared" si="1108"/>
        <v>1.1969654272203567</v>
      </c>
      <c r="K1796" s="1">
        <f t="shared" si="1108"/>
        <v>4.4510101496192602</v>
      </c>
    </row>
    <row r="1797" spans="2:11" x14ac:dyDescent="0.35">
      <c r="B1797" s="5" t="str">
        <f t="shared" si="1102"/>
        <v>SPS2</v>
      </c>
      <c r="C1797" s="5" t="str">
        <f t="shared" si="1107"/>
        <v>CH</v>
      </c>
      <c r="D1797" t="s">
        <v>1833</v>
      </c>
      <c r="E1797" t="str">
        <f t="shared" si="1096"/>
        <v>GWe/yr.</v>
      </c>
      <c r="F1797" s="1">
        <f>'[1]Electricity and CHPs_CAP'!B$33</f>
        <v>8.7120000000000003E-2</v>
      </c>
      <c r="G1797" s="1">
        <f>'[1]Electricity and CHPs_CAP'!C$33</f>
        <v>9.0660810654514645E-2</v>
      </c>
      <c r="H1797" s="1">
        <f>'[1]Electricity and CHPs_CAP'!D$33</f>
        <v>8.3656728148443646E-2</v>
      </c>
      <c r="I1797" s="1">
        <f>'[1]Electricity and CHPs_CAP'!E$33</f>
        <v>0.34087709206847033</v>
      </c>
      <c r="J1797" s="1">
        <f>'[1]Electricity and CHPs_CAP'!F$33</f>
        <v>1.1969654272203567</v>
      </c>
      <c r="K1797" s="1">
        <f>'[1]Electricity and CHPs_CAP'!G$33</f>
        <v>4.4510101496192602</v>
      </c>
    </row>
    <row r="1798" spans="2:11" x14ac:dyDescent="0.35">
      <c r="B1798" s="5" t="str">
        <f t="shared" si="1102"/>
        <v>SPS2</v>
      </c>
      <c r="C1798" s="5" t="str">
        <f t="shared" si="1107"/>
        <v>CH</v>
      </c>
      <c r="D1798" t="s">
        <v>1834</v>
      </c>
      <c r="E1798" t="str">
        <f t="shared" si="1096"/>
        <v>GWe/yr.</v>
      </c>
      <c r="F1798" s="1">
        <f>SUM(F1799:F1803)</f>
        <v>2.9746549999999998</v>
      </c>
      <c r="G1798" s="1">
        <f t="shared" ref="G1798:K1798" si="1109">SUM(G1799:G1803)</f>
        <v>4.3710135114922481</v>
      </c>
      <c r="H1798" s="1">
        <f t="shared" si="1109"/>
        <v>9.1888948386096629</v>
      </c>
      <c r="I1798" s="1">
        <f t="shared" si="1109"/>
        <v>17.412569512899836</v>
      </c>
      <c r="J1798" s="1">
        <f t="shared" si="1109"/>
        <v>34.627361573040716</v>
      </c>
      <c r="K1798" s="1">
        <f t="shared" si="1109"/>
        <v>45.18825130315998</v>
      </c>
    </row>
    <row r="1799" spans="2:11" x14ac:dyDescent="0.35">
      <c r="B1799" s="5" t="str">
        <f t="shared" si="1102"/>
        <v>SPS2</v>
      </c>
      <c r="C1799" s="5" t="str">
        <f t="shared" si="1107"/>
        <v>CH</v>
      </c>
      <c r="D1799" t="s">
        <v>1835</v>
      </c>
      <c r="E1799" t="str">
        <f t="shared" si="1096"/>
        <v>GWe/yr.</v>
      </c>
      <c r="F1799" s="1">
        <f>'[1]Electricity and CHPs_CAP'!B$34</f>
        <v>0</v>
      </c>
      <c r="G1799" s="1">
        <f>'[1]Electricity and CHPs_CAP'!C$34</f>
        <v>0</v>
      </c>
      <c r="H1799" s="1">
        <f>'[1]Electricity and CHPs_CAP'!D$34</f>
        <v>4.4922649400891003E-2</v>
      </c>
      <c r="I1799" s="1">
        <f>'[1]Electricity and CHPs_CAP'!E$34</f>
        <v>7.9026449021597903E-2</v>
      </c>
      <c r="J1799" s="1">
        <f>'[1]Electricity and CHPs_CAP'!F$34</f>
        <v>5.1149499684941162</v>
      </c>
      <c r="K1799" s="1">
        <f>'[1]Electricity and CHPs_CAP'!G$34</f>
        <v>12.020902749115141</v>
      </c>
    </row>
    <row r="1800" spans="2:11" x14ac:dyDescent="0.35">
      <c r="B1800" s="5" t="str">
        <f t="shared" si="1102"/>
        <v>SPS2</v>
      </c>
      <c r="C1800" s="5" t="str">
        <f t="shared" ref="C1800:C1815" si="1110">C1799</f>
        <v>CH</v>
      </c>
      <c r="D1800" t="s">
        <v>1836</v>
      </c>
      <c r="E1800" t="str">
        <f t="shared" si="1096"/>
        <v>GWe/yr.</v>
      </c>
      <c r="F1800" s="1">
        <f>'[1]Electricity and CHPs_CAP'!B$35</f>
        <v>1.1186210000000001</v>
      </c>
      <c r="G1800" s="1">
        <f>'[1]Electricity and CHPs_CAP'!C$35</f>
        <v>1.6529277008828172</v>
      </c>
      <c r="H1800" s="1">
        <f>'[1]Electricity and CHPs_CAP'!D$35</f>
        <v>3.5611846225568398</v>
      </c>
      <c r="I1800" s="1">
        <f>'[1]Electricity and CHPs_CAP'!E$35</f>
        <v>5.6146898096338802</v>
      </c>
      <c r="J1800" s="1">
        <f>'[1]Electricity and CHPs_CAP'!F$35</f>
        <v>11.775189436886036</v>
      </c>
      <c r="K1800" s="1">
        <f>'[1]Electricity and CHPs_CAP'!G$35</f>
        <v>15.9878396939952</v>
      </c>
    </row>
    <row r="1801" spans="2:11" x14ac:dyDescent="0.35">
      <c r="B1801" s="5" t="str">
        <f t="shared" si="1102"/>
        <v>SPS2</v>
      </c>
      <c r="C1801" s="5" t="str">
        <f t="shared" si="1110"/>
        <v>CH</v>
      </c>
      <c r="D1801" t="s">
        <v>1837</v>
      </c>
      <c r="E1801" t="str">
        <f t="shared" si="1096"/>
        <v>GWe/yr.</v>
      </c>
      <c r="F1801" s="1">
        <f>'[1]Electricity and CHPs_CAP'!B$36</f>
        <v>0.67885700000000004</v>
      </c>
      <c r="G1801" s="1">
        <f>'[1]Electricity and CHPs_CAP'!C$36</f>
        <v>1.1559606523265524</v>
      </c>
      <c r="H1801" s="1">
        <f>'[1]Electricity and CHPs_CAP'!D$36</f>
        <v>1.2907023431749296</v>
      </c>
      <c r="I1801" s="1">
        <f>'[1]Electricity and CHPs_CAP'!E$36</f>
        <v>3.5291427639678945</v>
      </c>
      <c r="J1801" s="1">
        <f>'[1]Electricity and CHPs_CAP'!F$36</f>
        <v>2.723498711395214</v>
      </c>
      <c r="K1801" s="1">
        <f>'[1]Electricity and CHPs_CAP'!G$36</f>
        <v>0.5950076482856641</v>
      </c>
    </row>
    <row r="1802" spans="2:11" x14ac:dyDescent="0.35">
      <c r="B1802" s="5" t="str">
        <f t="shared" si="1102"/>
        <v>SPS2</v>
      </c>
      <c r="C1802" s="5" t="str">
        <f t="shared" si="1110"/>
        <v>CH</v>
      </c>
      <c r="D1802" t="s">
        <v>1838</v>
      </c>
      <c r="E1802" t="str">
        <f t="shared" si="1096"/>
        <v>GWe/yr.</v>
      </c>
      <c r="F1802" s="1">
        <f>'[1]Electricity and CHPs_CAP'!B$37</f>
        <v>0.27424799999999999</v>
      </c>
      <c r="G1802" s="1">
        <f>'[1]Electricity and CHPs_CAP'!C$37</f>
        <v>0.43902333555126466</v>
      </c>
      <c r="H1802" s="1">
        <f>'[1]Electricity and CHPs_CAP'!D$37</f>
        <v>1.1121535980333821</v>
      </c>
      <c r="I1802" s="1">
        <f>'[1]Electricity and CHPs_CAP'!E$37</f>
        <v>3.0289839000454419</v>
      </c>
      <c r="J1802" s="1">
        <f>'[1]Electricity and CHPs_CAP'!F$37</f>
        <v>3.345989607388562</v>
      </c>
      <c r="K1802" s="1">
        <f>'[1]Electricity and CHPs_CAP'!G$37</f>
        <v>3.69606009270617</v>
      </c>
    </row>
    <row r="1803" spans="2:11" x14ac:dyDescent="0.35">
      <c r="B1803" s="5" t="str">
        <f t="shared" si="1102"/>
        <v>SPS2</v>
      </c>
      <c r="C1803" s="5" t="str">
        <f t="shared" si="1110"/>
        <v>CH</v>
      </c>
      <c r="D1803" t="s">
        <v>1839</v>
      </c>
      <c r="E1803" t="str">
        <f t="shared" si="1096"/>
        <v>GWe/yr.</v>
      </c>
      <c r="F1803" s="1">
        <f>'[1]Electricity and CHPs_CAP'!B$38</f>
        <v>0.90292899999999998</v>
      </c>
      <c r="G1803" s="1">
        <f>'[1]Electricity and CHPs_CAP'!C$38</f>
        <v>1.1231018227316136</v>
      </c>
      <c r="H1803" s="1">
        <f>'[1]Electricity and CHPs_CAP'!D$38</f>
        <v>3.1799316254436203</v>
      </c>
      <c r="I1803" s="1">
        <f>'[1]Electricity and CHPs_CAP'!E$38</f>
        <v>5.16072659023102</v>
      </c>
      <c r="J1803" s="1">
        <f>'[1]Electricity and CHPs_CAP'!F$38</f>
        <v>11.667733848876789</v>
      </c>
      <c r="K1803" s="1">
        <f>'[1]Electricity and CHPs_CAP'!G$38</f>
        <v>12.8884411190578</v>
      </c>
    </row>
    <row r="1804" spans="2:11" x14ac:dyDescent="0.35">
      <c r="B1804" s="5" t="str">
        <f t="shared" si="1102"/>
        <v>SPS2</v>
      </c>
      <c r="C1804" s="5" t="str">
        <f>C1807</f>
        <v>CH</v>
      </c>
      <c r="D1804" t="s">
        <v>1840</v>
      </c>
      <c r="E1804" t="str">
        <f t="shared" si="1096"/>
        <v>GWe/yr.</v>
      </c>
      <c r="F1804" s="1">
        <f>'[1]Electricity and CHPs_CAP'!B$32</f>
        <v>0</v>
      </c>
      <c r="G1804" s="1">
        <f>'[1]Electricity and CHPs_CAP'!C$32</f>
        <v>0</v>
      </c>
      <c r="H1804" s="1">
        <f>'[1]Electricity and CHPs_CAP'!D$32</f>
        <v>0</v>
      </c>
      <c r="I1804" s="1">
        <f>'[1]Electricity and CHPs_CAP'!E$32</f>
        <v>0</v>
      </c>
      <c r="J1804" s="1">
        <f>'[1]Electricity and CHPs_CAP'!F$32</f>
        <v>5.1778526695784503E-4</v>
      </c>
      <c r="K1804" s="1">
        <f>'[1]Electricity and CHPs_CAP'!G$32</f>
        <v>3.3073009591384523E-3</v>
      </c>
    </row>
    <row r="1805" spans="2:11" x14ac:dyDescent="0.35">
      <c r="B1805" s="5" t="str">
        <f t="shared" si="1102"/>
        <v>SPS2</v>
      </c>
      <c r="C1805" s="5" t="str">
        <f t="shared" ref="C1805" si="1111">C1804</f>
        <v>CH</v>
      </c>
      <c r="D1805" t="s">
        <v>1841</v>
      </c>
      <c r="E1805" t="str">
        <f t="shared" si="1096"/>
        <v>GWe/yr.</v>
      </c>
      <c r="F1805" s="1">
        <f>F1804</f>
        <v>0</v>
      </c>
      <c r="G1805" s="1">
        <f t="shared" ref="G1805:K1805" si="1112">G1804</f>
        <v>0</v>
      </c>
      <c r="H1805" s="1">
        <f t="shared" si="1112"/>
        <v>0</v>
      </c>
      <c r="I1805" s="1">
        <f t="shared" si="1112"/>
        <v>0</v>
      </c>
      <c r="J1805" s="1">
        <f t="shared" si="1112"/>
        <v>5.1778526695784503E-4</v>
      </c>
      <c r="K1805" s="1">
        <f t="shared" si="1112"/>
        <v>3.3073009591384523E-3</v>
      </c>
    </row>
    <row r="1806" spans="2:11" x14ac:dyDescent="0.35">
      <c r="B1806" s="5" t="str">
        <f t="shared" si="1102"/>
        <v>SPS2</v>
      </c>
      <c r="C1806" s="5" t="str">
        <f>C1803</f>
        <v>CH</v>
      </c>
      <c r="D1806" t="s">
        <v>1842</v>
      </c>
      <c r="E1806" t="str">
        <f t="shared" si="1096"/>
        <v>GWe/yr.</v>
      </c>
      <c r="F1806" s="1">
        <f t="shared" ref="F1806:K1806" si="1113">SUM(F1807:F1809)</f>
        <v>0</v>
      </c>
      <c r="G1806" s="1">
        <f t="shared" si="1113"/>
        <v>0</v>
      </c>
      <c r="H1806" s="1">
        <f t="shared" si="1113"/>
        <v>0</v>
      </c>
      <c r="I1806" s="1">
        <f t="shared" si="1113"/>
        <v>7.8135884390020298E-4</v>
      </c>
      <c r="J1806" s="1">
        <f t="shared" si="1113"/>
        <v>6.3029483198005831E-2</v>
      </c>
      <c r="K1806" s="1">
        <f t="shared" si="1113"/>
        <v>2.8823476073204308E-2</v>
      </c>
    </row>
    <row r="1807" spans="2:11" x14ac:dyDescent="0.35">
      <c r="B1807" s="5" t="str">
        <f t="shared" si="1102"/>
        <v>SPS2</v>
      </c>
      <c r="C1807" s="5" t="str">
        <f t="shared" si="1110"/>
        <v>CH</v>
      </c>
      <c r="D1807" t="s">
        <v>1843</v>
      </c>
      <c r="E1807" t="str">
        <f t="shared" si="1096"/>
        <v>GWe/yr.</v>
      </c>
      <c r="F1807" s="1">
        <f>'[1]Electricity and CHPs_CAP'!B$30</f>
        <v>0</v>
      </c>
      <c r="G1807" s="1">
        <f>'[1]Electricity and CHPs_CAP'!C$30</f>
        <v>0</v>
      </c>
      <c r="H1807" s="1">
        <f>'[1]Electricity and CHPs_CAP'!D$30</f>
        <v>0</v>
      </c>
      <c r="I1807" s="1">
        <f>'[1]Electricity and CHPs_CAP'!E$30</f>
        <v>0</v>
      </c>
      <c r="J1807" s="1">
        <f>'[1]Electricity and CHPs_CAP'!F$30</f>
        <v>1.09052238455631E-3</v>
      </c>
      <c r="K1807" s="1">
        <f>'[1]Electricity and CHPs_CAP'!G$30</f>
        <v>1.0962515874097739E-3</v>
      </c>
    </row>
    <row r="1808" spans="2:11" x14ac:dyDescent="0.35">
      <c r="B1808" s="5" t="str">
        <f t="shared" si="1102"/>
        <v>SPS2</v>
      </c>
      <c r="C1808" s="5" t="str">
        <f>C1804</f>
        <v>CH</v>
      </c>
      <c r="D1808" t="s">
        <v>1844</v>
      </c>
      <c r="E1808" t="str">
        <f t="shared" si="1096"/>
        <v>GWe/yr.</v>
      </c>
      <c r="F1808" s="1">
        <f>'[1]Electricity and CHPs_CAP'!B$46</f>
        <v>0</v>
      </c>
      <c r="G1808" s="1">
        <f>'[1]Electricity and CHPs_CAP'!C$46</f>
        <v>0</v>
      </c>
      <c r="H1808" s="1">
        <f>'[1]Electricity and CHPs_CAP'!D$46</f>
        <v>0</v>
      </c>
      <c r="I1808" s="1">
        <f>'[1]Electricity and CHPs_CAP'!E$46</f>
        <v>0</v>
      </c>
      <c r="J1808" s="1">
        <f>'[1]Electricity and CHPs_CAP'!F$46</f>
        <v>6.0316935560079075E-2</v>
      </c>
      <c r="K1808" s="1">
        <f>'[1]Electricity and CHPs_CAP'!G$46</f>
        <v>2.7059214742532409E-2</v>
      </c>
    </row>
    <row r="1809" spans="2:11" x14ac:dyDescent="0.35">
      <c r="B1809" s="5" t="str">
        <f t="shared" si="1102"/>
        <v>SPS2</v>
      </c>
      <c r="C1809" s="5" t="str">
        <f t="shared" si="1110"/>
        <v>CH</v>
      </c>
      <c r="D1809" t="s">
        <v>1845</v>
      </c>
      <c r="E1809" t="str">
        <f t="shared" si="1096"/>
        <v>GWe/yr.</v>
      </c>
      <c r="F1809" s="1">
        <f>'[1]Electricity and CHPs_CAP'!B$57</f>
        <v>0</v>
      </c>
      <c r="G1809" s="1">
        <f>'[1]Electricity and CHPs_CAP'!C$57</f>
        <v>0</v>
      </c>
      <c r="H1809" s="1">
        <f>'[1]Electricity and CHPs_CAP'!D$57</f>
        <v>0</v>
      </c>
      <c r="I1809" s="1">
        <f>'[1]Electricity and CHPs_CAP'!E$57</f>
        <v>7.8135884390020298E-4</v>
      </c>
      <c r="J1809" s="1">
        <f>'[1]Electricity and CHPs_CAP'!F$57</f>
        <v>1.6220252533704501E-3</v>
      </c>
      <c r="K1809" s="1">
        <f>'[1]Electricity and CHPs_CAP'!G$57</f>
        <v>6.6800974326212774E-4</v>
      </c>
    </row>
    <row r="1810" spans="2:11" x14ac:dyDescent="0.35">
      <c r="B1810" s="5" t="str">
        <f t="shared" si="1102"/>
        <v>SPS2</v>
      </c>
      <c r="C1810" s="5" t="str">
        <f t="shared" si="1110"/>
        <v>CH</v>
      </c>
      <c r="D1810" t="s">
        <v>1846</v>
      </c>
      <c r="E1810" t="str">
        <f t="shared" si="1096"/>
        <v>GWe/yr.</v>
      </c>
      <c r="F1810" s="1">
        <f>SUM(F1811:F1817)</f>
        <v>0.11219204316967477</v>
      </c>
      <c r="G1810" s="1">
        <f t="shared" ref="G1810:K1810" si="1114">SUM(G1811:G1817)</f>
        <v>0.11220089775373547</v>
      </c>
      <c r="H1810" s="1">
        <f t="shared" si="1114"/>
        <v>0.11225046603354299</v>
      </c>
      <c r="I1810" s="1">
        <f t="shared" si="1114"/>
        <v>0.29133500557625963</v>
      </c>
      <c r="J1810" s="1">
        <f t="shared" si="1114"/>
        <v>1.4908283982687933</v>
      </c>
      <c r="K1810" s="1">
        <f t="shared" si="1114"/>
        <v>2.2319802917815537</v>
      </c>
    </row>
    <row r="1811" spans="2:11" x14ac:dyDescent="0.35">
      <c r="B1811" s="5" t="str">
        <f t="shared" si="1102"/>
        <v>SPS2</v>
      </c>
      <c r="C1811" s="5" t="str">
        <f t="shared" si="1110"/>
        <v>CH</v>
      </c>
      <c r="D1811" t="s">
        <v>1847</v>
      </c>
      <c r="E1811" t="str">
        <f t="shared" si="1096"/>
        <v>GWe/yr.</v>
      </c>
      <c r="F1811" s="1">
        <f>'[1]Electricity and CHPs_CAP'!B$63</f>
        <v>0.1</v>
      </c>
      <c r="G1811" s="1">
        <f>'[1]Electricity and CHPs_CAP'!C$63</f>
        <v>9.9996673232420646E-2</v>
      </c>
      <c r="H1811" s="1">
        <f>'[1]Electricity and CHPs_CAP'!D$63</f>
        <v>9.9996224530244149E-2</v>
      </c>
      <c r="I1811" s="1">
        <f>'[1]Electricity and CHPs_CAP'!E$63</f>
        <v>9.9996285104096083E-2</v>
      </c>
      <c r="J1811" s="1">
        <f>'[1]Electricity and CHPs_CAP'!F$63</f>
        <v>9.9997825392235951E-2</v>
      </c>
      <c r="K1811" s="1">
        <f>'[1]Electricity and CHPs_CAP'!G$63</f>
        <v>9.9998251792167175E-2</v>
      </c>
    </row>
    <row r="1812" spans="2:11" x14ac:dyDescent="0.35">
      <c r="B1812" s="5" t="str">
        <f t="shared" si="1102"/>
        <v>SPS2</v>
      </c>
      <c r="C1812" s="5" t="str">
        <f t="shared" si="1110"/>
        <v>CH</v>
      </c>
      <c r="D1812" t="s">
        <v>1848</v>
      </c>
      <c r="E1812" t="str">
        <f t="shared" si="1096"/>
        <v>GWe/yr.</v>
      </c>
      <c r="F1812" s="1">
        <f>'[1]Electricity and CHPs_CAP'!B$64</f>
        <v>2.0459664929528801E-3</v>
      </c>
      <c r="G1812" s="1">
        <f>'[1]Electricity and CHPs_CAP'!C$64</f>
        <v>2.047727456862256E-3</v>
      </c>
      <c r="H1812" s="1">
        <f>'[1]Electricity and CHPs_CAP'!D$64</f>
        <v>2.0591882035579686E-3</v>
      </c>
      <c r="I1812" s="1">
        <f>'[1]Electricity and CHPs_CAP'!E$64</f>
        <v>2.5018343963962566E-3</v>
      </c>
      <c r="J1812" s="1">
        <f>'[1]Electricity and CHPs_CAP'!F$64</f>
        <v>1.0423070824699199</v>
      </c>
      <c r="K1812" s="1">
        <f>'[1]Electricity and CHPs_CAP'!G$64</f>
        <v>1.4706677235583945</v>
      </c>
    </row>
    <row r="1813" spans="2:11" x14ac:dyDescent="0.35">
      <c r="B1813" s="5" t="str">
        <f t="shared" si="1102"/>
        <v>SPS2</v>
      </c>
      <c r="C1813" s="5" t="str">
        <f t="shared" si="1110"/>
        <v>CH</v>
      </c>
      <c r="D1813" t="s">
        <v>1849</v>
      </c>
      <c r="E1813" t="str">
        <f t="shared" si="1096"/>
        <v>GWe/yr.</v>
      </c>
      <c r="F1813" s="1">
        <f>'[1]Electricity and CHPs_CAP'!B$65</f>
        <v>1.5170488945995099E-3</v>
      </c>
      <c r="G1813" s="1">
        <f>'[1]Electricity and CHPs_CAP'!C$65</f>
        <v>1.5183528895792088E-3</v>
      </c>
      <c r="H1813" s="1">
        <f>'[1]Electricity and CHPs_CAP'!D$65</f>
        <v>1.5264426230581572E-3</v>
      </c>
      <c r="I1813" s="1">
        <f>'[1]Electricity and CHPs_CAP'!E$65</f>
        <v>1.792568477158523E-3</v>
      </c>
      <c r="J1813" s="1">
        <f>'[1]Electricity and CHPs_CAP'!F$65</f>
        <v>1.460571006068561E-2</v>
      </c>
      <c r="K1813" s="1">
        <f>'[1]Electricity and CHPs_CAP'!G$65</f>
        <v>0.26863266356901266</v>
      </c>
    </row>
    <row r="1814" spans="2:11" x14ac:dyDescent="0.35">
      <c r="B1814" s="5" t="str">
        <f t="shared" si="1102"/>
        <v>SPS2</v>
      </c>
      <c r="C1814" s="5" t="str">
        <f t="shared" si="1110"/>
        <v>CH</v>
      </c>
      <c r="D1814" t="s">
        <v>1850</v>
      </c>
      <c r="E1814" t="str">
        <f t="shared" si="1096"/>
        <v>GWe/yr.</v>
      </c>
      <c r="F1814" s="1">
        <f>'[1]Electricity and CHPs_CAP'!B$66</f>
        <v>1.4390343398289836E-3</v>
      </c>
      <c r="G1814" s="1">
        <f>'[1]Electricity and CHPs_CAP'!C$66</f>
        <v>1.4405890464384446E-3</v>
      </c>
      <c r="H1814" s="1">
        <f>'[1]Electricity and CHPs_CAP'!D$66</f>
        <v>1.4453973420752607E-3</v>
      </c>
      <c r="I1814" s="1">
        <f>'[1]Electricity and CHPs_CAP'!E$66</f>
        <v>4.901193438826186E-2</v>
      </c>
      <c r="J1814" s="1">
        <f>'[1]Electricity and CHPs_CAP'!F$66</f>
        <v>0.1861580266905821</v>
      </c>
      <c r="K1814" s="1">
        <f>'[1]Electricity and CHPs_CAP'!G$66</f>
        <v>0.31176192638487249</v>
      </c>
    </row>
    <row r="1815" spans="2:11" x14ac:dyDescent="0.35">
      <c r="B1815" s="5" t="str">
        <f t="shared" si="1102"/>
        <v>SPS2</v>
      </c>
      <c r="C1815" s="5" t="str">
        <f t="shared" si="1110"/>
        <v>CH</v>
      </c>
      <c r="D1815" t="s">
        <v>1856</v>
      </c>
      <c r="E1815" t="str">
        <f t="shared" si="1096"/>
        <v>GWe/yr.</v>
      </c>
      <c r="F1815" s="1">
        <f>'[1]Electricity and CHPs_CAP'!B$67</f>
        <v>2.8713588557344885E-3</v>
      </c>
      <c r="G1815" s="1">
        <f>'[1]Electricity and CHPs_CAP'!C$67</f>
        <v>2.8743547668799337E-3</v>
      </c>
      <c r="H1815" s="1">
        <f>'[1]Electricity and CHPs_CAP'!D$67</f>
        <v>2.8847011904937266E-3</v>
      </c>
      <c r="I1815" s="1">
        <f>'[1]Electricity and CHPs_CAP'!E$67</f>
        <v>5.1894736401743212E-2</v>
      </c>
      <c r="J1815" s="1">
        <f>'[1]Electricity and CHPs_CAP'!F$67</f>
        <v>5.5751718177931703E-2</v>
      </c>
      <c r="K1815" s="1">
        <f>'[1]Electricity and CHPs_CAP'!G$67</f>
        <v>3.0845542395018147E-2</v>
      </c>
    </row>
    <row r="1816" spans="2:11" x14ac:dyDescent="0.35">
      <c r="B1816" s="5" t="str">
        <f t="shared" si="1102"/>
        <v>SPS2</v>
      </c>
      <c r="C1816" s="5" t="str">
        <f t="shared" ref="C1816:C1817" si="1115">C1815</f>
        <v>CH</v>
      </c>
      <c r="D1816" t="s">
        <v>1851</v>
      </c>
      <c r="E1816" t="str">
        <f t="shared" si="1096"/>
        <v>GWe/yr.</v>
      </c>
      <c r="F1816" s="1">
        <f>'[1]Electricity and CHPs_CAP'!B$68</f>
        <v>2.8728642404086445E-3</v>
      </c>
      <c r="G1816" s="1">
        <f>'[1]Electricity and CHPs_CAP'!C$68</f>
        <v>2.8758670211741616E-3</v>
      </c>
      <c r="H1816" s="1">
        <f>'[1]Electricity and CHPs_CAP'!D$68</f>
        <v>2.8863167070260851E-3</v>
      </c>
      <c r="I1816" s="1">
        <f>'[1]Electricity and CHPs_CAP'!E$68</f>
        <v>5.3481890668403698E-2</v>
      </c>
      <c r="J1816" s="1">
        <f>'[1]Electricity and CHPs_CAP'!F$68</f>
        <v>5.8802085980640378E-2</v>
      </c>
      <c r="K1816" s="1">
        <f>'[1]Electricity and CHPs_CAP'!G$68</f>
        <v>3.0921632199229946E-2</v>
      </c>
    </row>
    <row r="1817" spans="2:11" x14ac:dyDescent="0.35">
      <c r="B1817" s="5" t="str">
        <f t="shared" si="1102"/>
        <v>SPS2</v>
      </c>
      <c r="C1817" s="5" t="str">
        <f t="shared" si="1115"/>
        <v>CH</v>
      </c>
      <c r="D1817" t="s">
        <v>1852</v>
      </c>
      <c r="E1817" t="str">
        <f t="shared" si="1096"/>
        <v>GWe/yr.</v>
      </c>
      <c r="F1817" s="1">
        <f>'[1]Electricity and CHPs_CAP'!B$69</f>
        <v>1.4457703461502394E-3</v>
      </c>
      <c r="G1817" s="1">
        <f>'[1]Electricity and CHPs_CAP'!C$69</f>
        <v>1.4473333403808302E-3</v>
      </c>
      <c r="H1817" s="1">
        <f>'[1]Electricity and CHPs_CAP'!D$69</f>
        <v>1.452195437087645E-3</v>
      </c>
      <c r="I1817" s="1">
        <f>'[1]Electricity and CHPs_CAP'!E$69</f>
        <v>3.2655756140199936E-2</v>
      </c>
      <c r="J1817" s="1">
        <f>'[1]Electricity and CHPs_CAP'!F$69</f>
        <v>3.3205949496797761E-2</v>
      </c>
      <c r="K1817" s="1">
        <f>'[1]Electricity and CHPs_CAP'!G$69</f>
        <v>1.9152551882859106E-2</v>
      </c>
    </row>
    <row r="1818" spans="2:11" x14ac:dyDescent="0.35">
      <c r="B1818" s="5" t="str">
        <f t="shared" si="1102"/>
        <v>SPS2</v>
      </c>
      <c r="C1818" s="5" t="str">
        <f t="shared" ref="C1818" si="1116">C1817</f>
        <v>CH</v>
      </c>
      <c r="D1818" s="2" t="s">
        <v>1861</v>
      </c>
      <c r="E1818" s="2" t="s">
        <v>1859</v>
      </c>
      <c r="F1818" s="3">
        <f>SUM(F1819,F1838)</f>
        <v>11.163886060483145</v>
      </c>
      <c r="G1818" s="3">
        <f t="shared" ref="G1818:K1818" si="1117">SUM(G1819,G1838)</f>
        <v>11.903819596064778</v>
      </c>
      <c r="H1818" s="3">
        <f t="shared" si="1117"/>
        <v>11.762758160818535</v>
      </c>
      <c r="I1818" s="3">
        <f t="shared" si="1117"/>
        <v>13.07316757203294</v>
      </c>
      <c r="J1818" s="3">
        <f t="shared" si="1117"/>
        <v>8.9969036655877908</v>
      </c>
      <c r="K1818" s="3">
        <f t="shared" si="1117"/>
        <v>8.1424928305840254</v>
      </c>
    </row>
    <row r="1819" spans="2:11" x14ac:dyDescent="0.35">
      <c r="B1819" s="5" t="str">
        <f t="shared" si="1102"/>
        <v>SPS2</v>
      </c>
      <c r="C1819" s="5" t="str">
        <f>C1817</f>
        <v>CH</v>
      </c>
      <c r="D1819" t="s">
        <v>1899</v>
      </c>
      <c r="E1819" t="str">
        <f>E1818</f>
        <v>GWth/yr.</v>
      </c>
      <c r="F1819" s="1">
        <f>SUM(F1820,F1823,F1825,F1828,F1830,F1832,F1834,F1836)</f>
        <v>9.3028736197472064</v>
      </c>
      <c r="G1819" s="1">
        <f t="shared" ref="G1819:K1819" si="1118">SUM(G1820,G1823,G1825,G1828,G1830,G1832,G1834,G1836)</f>
        <v>9.8939243639628405</v>
      </c>
      <c r="H1819" s="1">
        <f t="shared" si="1118"/>
        <v>9.8499321881864201</v>
      </c>
      <c r="I1819" s="1">
        <f t="shared" si="1118"/>
        <v>11.028130928914203</v>
      </c>
      <c r="J1819" s="1">
        <f t="shared" si="1118"/>
        <v>6.9922295962590999</v>
      </c>
      <c r="K1819" s="1">
        <f t="shared" si="1118"/>
        <v>6.1346837837005026</v>
      </c>
    </row>
    <row r="1820" spans="2:11" x14ac:dyDescent="0.35">
      <c r="B1820" s="5" t="str">
        <f t="shared" si="1102"/>
        <v>SPS2</v>
      </c>
      <c r="C1820" s="5" t="str">
        <f>C1818</f>
        <v>CH</v>
      </c>
      <c r="D1820" t="s">
        <v>1862</v>
      </c>
      <c r="E1820" t="str">
        <f>E1818</f>
        <v>GWth/yr.</v>
      </c>
      <c r="F1820" s="1">
        <f>SUM(F1821:F1822)</f>
        <v>2.111664402000978</v>
      </c>
      <c r="G1820" s="1">
        <f t="shared" ref="G1820:K1820" si="1119">SUM(G1821:G1822)</f>
        <v>2.3839057444830072</v>
      </c>
      <c r="H1820" s="1">
        <f t="shared" si="1119"/>
        <v>2.7242283432804517</v>
      </c>
      <c r="I1820" s="1">
        <f t="shared" si="1119"/>
        <v>3.2441245424897378</v>
      </c>
      <c r="J1820" s="1">
        <f t="shared" si="1119"/>
        <v>4.073955658931828</v>
      </c>
      <c r="K1820" s="1">
        <f t="shared" si="1119"/>
        <v>4.0640269421518838</v>
      </c>
    </row>
    <row r="1821" spans="2:11" x14ac:dyDescent="0.35">
      <c r="B1821" s="5" t="str">
        <f t="shared" si="1102"/>
        <v>SPS2</v>
      </c>
      <c r="C1821" s="5" t="str">
        <f t="shared" ref="C1821" si="1120">C1820</f>
        <v>CH</v>
      </c>
      <c r="D1821" t="s">
        <v>1863</v>
      </c>
      <c r="E1821" t="str">
        <f t="shared" ref="E1821:E1884" si="1121">E1820</f>
        <v>GWth/yr.</v>
      </c>
      <c r="F1821" s="1" cm="1">
        <f t="array" ref="F1821">SUMPRODUCT(([1]OUT_FinalEnergyCons!$B$4:$B$10000="var_cap")*1,(ISNUMBER(SEARCH("RH*-SHELCBR",[1]OUT_FinalEnergyCons!$A$4:$A$10000)))*1,[1]OUT_FinalEnergyCons!D$4:D$10000)</f>
        <v>0.6725727753809676</v>
      </c>
      <c r="G1821" s="1" cm="1">
        <f t="array" ref="G1821">SUMPRODUCT(([1]OUT_FinalEnergyCons!$B$4:$B$10000="var_cap")*1,(ISNUMBER(SEARCH("RH*-SHELCBR",[1]OUT_FinalEnergyCons!$A$4:$A$10000)))*1,[1]OUT_FinalEnergyCons!E$4:E$10000)</f>
        <v>0.72005123102426405</v>
      </c>
      <c r="H1821" s="1" cm="1">
        <f t="array" ref="H1821">SUMPRODUCT(([1]OUT_FinalEnergyCons!$B$4:$B$10000="var_cap")*1,(ISNUMBER(SEARCH("RH*-SHELCBR",[1]OUT_FinalEnergyCons!$A$4:$A$10000)))*1,[1]OUT_FinalEnergyCons!F$4:F$10000)</f>
        <v>0.14489929360143428</v>
      </c>
      <c r="I1821" s="1" cm="1">
        <f t="array" ref="I1821">SUMPRODUCT(([1]OUT_FinalEnergyCons!$B$4:$B$10000="var_cap")*1,(ISNUMBER(SEARCH("RH*-SHELCBR",[1]OUT_FinalEnergyCons!$A$4:$A$10000)))*1,[1]OUT_FinalEnergyCons!G$4:G$10000)</f>
        <v>5.8751035123072053E-2</v>
      </c>
      <c r="J1821" s="1" cm="1">
        <f t="array" ref="J1821">SUMPRODUCT(([1]OUT_FinalEnergyCons!$B$4:$B$10000="var_cap")*1,(ISNUMBER(SEARCH("RH*-SHELCBR",[1]OUT_FinalEnergyCons!$A$4:$A$10000)))*1,[1]OUT_FinalEnergyCons!H$4:H$10000)</f>
        <v>6.8101731289879584E-3</v>
      </c>
      <c r="K1821" s="1" cm="1">
        <f t="array" ref="K1821">SUMPRODUCT(([1]OUT_FinalEnergyCons!$B$4:$B$10000="var_cap")*1,(ISNUMBER(SEARCH("RH*-SHELCBR",[1]OUT_FinalEnergyCons!$A$4:$A$10000)))*1,[1]OUT_FinalEnergyCons!I$4:I$10000)</f>
        <v>3.1439112059899986E-3</v>
      </c>
    </row>
    <row r="1822" spans="2:11" x14ac:dyDescent="0.35">
      <c r="B1822" s="5" t="str">
        <f t="shared" si="1102"/>
        <v>SPS2</v>
      </c>
      <c r="C1822" s="5" t="str">
        <f t="shared" ref="C1822" si="1122">C1821</f>
        <v>CH</v>
      </c>
      <c r="D1822" t="s">
        <v>1864</v>
      </c>
      <c r="E1822" t="str">
        <f t="shared" si="1121"/>
        <v>GWth/yr.</v>
      </c>
      <c r="F1822" s="1" cm="1">
        <f t="array" ref="F1822">SUMPRODUCT(([1]OUT_FinalEnergyCons!$B$4:$B$10000="var_cap")*1,ISNUMBER(SEARCH("RH*-SHELCHP",[1]OUT_FinalEnergyCons!$A$4:$A$10000))*1,[1]OUT_FinalEnergyCons!D$4:D$10000)</f>
        <v>1.4390916266200104</v>
      </c>
      <c r="G1822" s="1" cm="1">
        <f t="array" ref="G1822">SUMPRODUCT(([1]OUT_FinalEnergyCons!$B$4:$B$10000="var_cap")*1,ISNUMBER(SEARCH("RH*-SHELCHP",[1]OUT_FinalEnergyCons!$A$4:$A$10000))*1,[1]OUT_FinalEnergyCons!E$4:E$10000)</f>
        <v>1.6638545134587432</v>
      </c>
      <c r="H1822" s="1" cm="1">
        <f t="array" ref="H1822">SUMPRODUCT(([1]OUT_FinalEnergyCons!$B$4:$B$10000="var_cap")*1,ISNUMBER(SEARCH("RH*-SHELCHP",[1]OUT_FinalEnergyCons!$A$4:$A$10000))*1,[1]OUT_FinalEnergyCons!F$4:F$10000)</f>
        <v>2.5793290496790173</v>
      </c>
      <c r="I1822" s="1" cm="1">
        <f t="array" ref="I1822">SUMPRODUCT(([1]OUT_FinalEnergyCons!$B$4:$B$10000="var_cap")*1,ISNUMBER(SEARCH("RH*-SHELCHP",[1]OUT_FinalEnergyCons!$A$4:$A$10000))*1,[1]OUT_FinalEnergyCons!G$4:G$10000)</f>
        <v>3.1853735073666658</v>
      </c>
      <c r="J1822" s="1" cm="1">
        <f t="array" ref="J1822">SUMPRODUCT(([1]OUT_FinalEnergyCons!$B$4:$B$10000="var_cap")*1,ISNUMBER(SEARCH("RH*-SHELCHP",[1]OUT_FinalEnergyCons!$A$4:$A$10000))*1,[1]OUT_FinalEnergyCons!H$4:H$10000)</f>
        <v>4.0671454858028397</v>
      </c>
      <c r="K1822" s="1" cm="1">
        <f t="array" ref="K1822">SUMPRODUCT(([1]OUT_FinalEnergyCons!$B$4:$B$10000="var_cap")*1,ISNUMBER(SEARCH("RH*-SHELCHP",[1]OUT_FinalEnergyCons!$A$4:$A$10000))*1,[1]OUT_FinalEnergyCons!I$4:I$10000)</f>
        <v>4.0608830309458934</v>
      </c>
    </row>
    <row r="1823" spans="2:11" x14ac:dyDescent="0.35">
      <c r="B1823" s="5" t="str">
        <f t="shared" si="1102"/>
        <v>SPS2</v>
      </c>
      <c r="C1823" s="5" t="str">
        <f t="shared" ref="C1823" si="1123">C1822</f>
        <v>CH</v>
      </c>
      <c r="D1823" t="s">
        <v>1865</v>
      </c>
      <c r="E1823" t="str">
        <f t="shared" si="1121"/>
        <v>GWth/yr.</v>
      </c>
      <c r="F1823" s="1">
        <f>F1824</f>
        <v>3.4074053831106799</v>
      </c>
      <c r="G1823" s="1">
        <f t="shared" ref="G1823:K1823" si="1124">G1824</f>
        <v>3.345064227664662</v>
      </c>
      <c r="H1823" s="1">
        <f t="shared" si="1124"/>
        <v>2.8466915119528533</v>
      </c>
      <c r="I1823" s="1">
        <f t="shared" si="1124"/>
        <v>2.8455535116310324</v>
      </c>
      <c r="J1823" s="1">
        <f t="shared" si="1124"/>
        <v>0.283364647548079</v>
      </c>
      <c r="K1823" s="1">
        <f t="shared" si="1124"/>
        <v>3.2562560443763607E-2</v>
      </c>
    </row>
    <row r="1824" spans="2:11" x14ac:dyDescent="0.35">
      <c r="B1824" s="5" t="str">
        <f t="shared" si="1102"/>
        <v>SPS2</v>
      </c>
      <c r="C1824" s="5" t="str">
        <f t="shared" ref="C1824" si="1125">C1823</f>
        <v>CH</v>
      </c>
      <c r="D1824" t="s">
        <v>1866</v>
      </c>
      <c r="E1824" t="str">
        <f t="shared" si="1121"/>
        <v>GWth/yr.</v>
      </c>
      <c r="F1824" s="1" cm="1">
        <f t="array" ref="F1824">SUMPRODUCT(([1]OUT_FinalEnergyCons!$B$4:$B$10000="var_cap")*1, (ISNUMBER(SEARCH("RH*-SHLFOBR",[1]OUT_FinalEnergyCons!$A$4:$A$10000)))*1,[1]OUT_FinalEnergyCons!D$4:D$10000)</f>
        <v>3.4074053831106799</v>
      </c>
      <c r="G1824" s="1" cm="1">
        <f t="array" ref="G1824">SUMPRODUCT(([1]OUT_FinalEnergyCons!$B$4:$B$10000="var_cap")*1, (ISNUMBER(SEARCH("RH*-SHLFOBR",[1]OUT_FinalEnergyCons!$A$4:$A$10000)))*1,[1]OUT_FinalEnergyCons!E$4:E$10000)</f>
        <v>3.345064227664662</v>
      </c>
      <c r="H1824" s="1" cm="1">
        <f t="array" ref="H1824">SUMPRODUCT(([1]OUT_FinalEnergyCons!$B$4:$B$10000="var_cap")*1, (ISNUMBER(SEARCH("RH*-SHLFOBR",[1]OUT_FinalEnergyCons!$A$4:$A$10000)))*1,[1]OUT_FinalEnergyCons!F$4:F$10000)</f>
        <v>2.8466915119528533</v>
      </c>
      <c r="I1824" s="1" cm="1">
        <f t="array" ref="I1824">SUMPRODUCT(([1]OUT_FinalEnergyCons!$B$4:$B$10000="var_cap")*1, (ISNUMBER(SEARCH("RH*-SHLFOBR",[1]OUT_FinalEnergyCons!$A$4:$A$10000)))*1,[1]OUT_FinalEnergyCons!G$4:G$10000)</f>
        <v>2.8455535116310324</v>
      </c>
      <c r="J1824" s="1" cm="1">
        <f t="array" ref="J1824">SUMPRODUCT(([1]OUT_FinalEnergyCons!$B$4:$B$10000="var_cap")*1, (ISNUMBER(SEARCH("RH*-SHLFOBR",[1]OUT_FinalEnergyCons!$A$4:$A$10000)))*1,[1]OUT_FinalEnergyCons!H$4:H$10000)</f>
        <v>0.283364647548079</v>
      </c>
      <c r="K1824" s="1" cm="1">
        <f t="array" ref="K1824">SUMPRODUCT(([1]OUT_FinalEnergyCons!$B$4:$B$10000="var_cap")*1, (ISNUMBER(SEARCH("RH*-SHLFOBR",[1]OUT_FinalEnergyCons!$A$4:$A$10000)))*1,[1]OUT_FinalEnergyCons!I$4:I$10000)</f>
        <v>3.2562560443763607E-2</v>
      </c>
    </row>
    <row r="1825" spans="2:11" x14ac:dyDescent="0.35">
      <c r="B1825" s="5" t="str">
        <f t="shared" si="1102"/>
        <v>SPS2</v>
      </c>
      <c r="C1825" s="5" t="str">
        <f t="shared" ref="C1825" si="1126">C1824</f>
        <v>CH</v>
      </c>
      <c r="D1825" t="s">
        <v>1867</v>
      </c>
      <c r="E1825" t="str">
        <f t="shared" si="1121"/>
        <v>GWth/yr.</v>
      </c>
      <c r="F1825" s="1">
        <f>SUM(F1826:F1827)</f>
        <v>2.7687543807650989</v>
      </c>
      <c r="G1825" s="1">
        <f t="shared" ref="G1825:K1825" si="1127">SUM(G1826:G1827)</f>
        <v>2.9868756095332851</v>
      </c>
      <c r="H1825" s="1">
        <f t="shared" si="1127"/>
        <v>3.2545359765202519</v>
      </c>
      <c r="I1825" s="1">
        <f t="shared" si="1127"/>
        <v>3.916466549896656</v>
      </c>
      <c r="J1825" s="1">
        <f t="shared" si="1127"/>
        <v>2.0745930629598215</v>
      </c>
      <c r="K1825" s="1">
        <f t="shared" si="1127"/>
        <v>1.711563862730878</v>
      </c>
    </row>
    <row r="1826" spans="2:11" x14ac:dyDescent="0.35">
      <c r="B1826" s="5" t="str">
        <f t="shared" si="1102"/>
        <v>SPS2</v>
      </c>
      <c r="C1826" s="5" t="str">
        <f t="shared" ref="C1826" si="1128">C1825</f>
        <v>CH</v>
      </c>
      <c r="D1826" t="s">
        <v>1868</v>
      </c>
      <c r="E1826" t="str">
        <f t="shared" si="1121"/>
        <v>GWth/yr.</v>
      </c>
      <c r="F1826" s="1" cm="1">
        <f t="array" ref="F1826">SUMPRODUCT(([1]OUT_FinalEnergyCons!$B$4:$B$10000="var_cap")*1, (ISNUMBER(SEARCH("RH*-SHNGABR",[1]OUT_FinalEnergyCons!$A$4:$A$10000)))*1,[1]OUT_FinalEnergyCons!D$4:D$10000)</f>
        <v>2.7687540512383499</v>
      </c>
      <c r="G1826" s="1" cm="1">
        <f t="array" ref="G1826">SUMPRODUCT(([1]OUT_FinalEnergyCons!$B$4:$B$10000="var_cap")*1, (ISNUMBER(SEARCH("RH*-SHNGABR",[1]OUT_FinalEnergyCons!$A$4:$A$10000)))*1,[1]OUT_FinalEnergyCons!E$4:E$10000)</f>
        <v>2.9868702743680782</v>
      </c>
      <c r="H1826" s="1" cm="1">
        <f t="array" ref="H1826">SUMPRODUCT(([1]OUT_FinalEnergyCons!$B$4:$B$10000="var_cap")*1, (ISNUMBER(SEARCH("RH*-SHNGABR",[1]OUT_FinalEnergyCons!$A$4:$A$10000)))*1,[1]OUT_FinalEnergyCons!F$4:F$10000)</f>
        <v>2.8584075237010236</v>
      </c>
      <c r="I1826" s="1" cm="1">
        <f t="array" ref="I1826">SUMPRODUCT(([1]OUT_FinalEnergyCons!$B$4:$B$10000="var_cap")*1, (ISNUMBER(SEARCH("RH*-SHNGABR",[1]OUT_FinalEnergyCons!$A$4:$A$10000)))*1,[1]OUT_FinalEnergyCons!G$4:G$10000)</f>
        <v>2.8577005318503046</v>
      </c>
      <c r="J1826" s="1" cm="1">
        <f t="array" ref="J1826">SUMPRODUCT(([1]OUT_FinalEnergyCons!$B$4:$B$10000="var_cap")*1, (ISNUMBER(SEARCH("RH*-SHNGABR",[1]OUT_FinalEnergyCons!$A$4:$A$10000)))*1,[1]OUT_FinalEnergyCons!H$4:H$10000)</f>
        <v>0.49187330153888403</v>
      </c>
      <c r="K1826" s="1" cm="1">
        <f t="array" ref="K1826">SUMPRODUCT(([1]OUT_FinalEnergyCons!$B$4:$B$10000="var_cap")*1, (ISNUMBER(SEARCH("RH*-SHNGABR",[1]OUT_FinalEnergyCons!$A$4:$A$10000)))*1,[1]OUT_FinalEnergyCons!I$4:I$10000)</f>
        <v>0.2339825778996342</v>
      </c>
    </row>
    <row r="1827" spans="2:11" x14ac:dyDescent="0.35">
      <c r="B1827" s="5" t="str">
        <f t="shared" si="1102"/>
        <v>SPS2</v>
      </c>
      <c r="C1827" s="5" t="str">
        <f t="shared" ref="C1827" si="1129">C1826</f>
        <v>CH</v>
      </c>
      <c r="D1827" t="s">
        <v>1869</v>
      </c>
      <c r="E1827" t="str">
        <f t="shared" si="1121"/>
        <v>GWth/yr.</v>
      </c>
      <c r="F1827" s="1" cm="1">
        <f t="array" ref="F1827">SUMPRODUCT(([1]OUT_FinalEnergyCons!$B$4:$B$10000="var_cap")*1,ISNUMBER(SEARCH("RH*-SHngahp",[1]OUT_FinalEnergyCons!$A$4:$A$10000))*1,[1]OUT_FinalEnergyCons!D$4:D$10000)</f>
        <v>3.2952674896809002E-7</v>
      </c>
      <c r="G1827" s="1" cm="1">
        <f t="array" ref="G1827">SUMPRODUCT(([1]OUT_FinalEnergyCons!$B$4:$B$10000="var_cap")*1,ISNUMBER(SEARCH("RH*-SHngahp",[1]OUT_FinalEnergyCons!$A$4:$A$10000))*1,[1]OUT_FinalEnergyCons!E$4:E$10000)</f>
        <v>5.3351652069685453E-6</v>
      </c>
      <c r="H1827" s="1" cm="1">
        <f t="array" ref="H1827">SUMPRODUCT(([1]OUT_FinalEnergyCons!$B$4:$B$10000="var_cap")*1,ISNUMBER(SEARCH("RH*-SHngahp",[1]OUT_FinalEnergyCons!$A$4:$A$10000))*1,[1]OUT_FinalEnergyCons!F$4:F$10000)</f>
        <v>0.39612845281922815</v>
      </c>
      <c r="I1827" s="1" cm="1">
        <f t="array" ref="I1827">SUMPRODUCT(([1]OUT_FinalEnergyCons!$B$4:$B$10000="var_cap")*1,ISNUMBER(SEARCH("RH*-SHngahp",[1]OUT_FinalEnergyCons!$A$4:$A$10000))*1,[1]OUT_FinalEnergyCons!G$4:G$10000)</f>
        <v>1.0587660180463514</v>
      </c>
      <c r="J1827" s="1" cm="1">
        <f t="array" ref="J1827">SUMPRODUCT(([1]OUT_FinalEnergyCons!$B$4:$B$10000="var_cap")*1,ISNUMBER(SEARCH("RH*-SHngahp",[1]OUT_FinalEnergyCons!$A$4:$A$10000))*1,[1]OUT_FinalEnergyCons!H$4:H$10000)</f>
        <v>1.5827197614209374</v>
      </c>
      <c r="K1827" s="1" cm="1">
        <f t="array" ref="K1827">SUMPRODUCT(([1]OUT_FinalEnergyCons!$B$4:$B$10000="var_cap")*1,ISNUMBER(SEARCH("RH*-SHngahp",[1]OUT_FinalEnergyCons!$A$4:$A$10000))*1,[1]OUT_FinalEnergyCons!I$4:I$10000)</f>
        <v>1.4775812848312437</v>
      </c>
    </row>
    <row r="1828" spans="2:11" x14ac:dyDescent="0.35">
      <c r="B1828" s="5" t="str">
        <f t="shared" si="1102"/>
        <v>SPS2</v>
      </c>
      <c r="C1828" s="5" t="str">
        <f t="shared" ref="C1828" si="1130">C1827</f>
        <v>CH</v>
      </c>
      <c r="D1828" t="s">
        <v>1870</v>
      </c>
      <c r="E1828" t="str">
        <f t="shared" si="1121"/>
        <v>GWth/yr.</v>
      </c>
      <c r="F1828" s="1">
        <f>F1829</f>
        <v>7.0000000000000001E-3</v>
      </c>
      <c r="G1828" s="1">
        <f t="shared" ref="G1828:K1828" si="1131">G1829</f>
        <v>6.9879747682473417E-3</v>
      </c>
      <c r="H1828" s="1">
        <f t="shared" si="1131"/>
        <v>2.9115264894507406E-3</v>
      </c>
      <c r="I1828" s="1">
        <f t="shared" si="1131"/>
        <v>2.5480212792610389E-5</v>
      </c>
      <c r="J1828" s="1">
        <f t="shared" si="1131"/>
        <v>0</v>
      </c>
      <c r="K1828" s="1">
        <f t="shared" si="1131"/>
        <v>0</v>
      </c>
    </row>
    <row r="1829" spans="2:11" x14ac:dyDescent="0.35">
      <c r="B1829" s="5" t="str">
        <f t="shared" si="1102"/>
        <v>SPS2</v>
      </c>
      <c r="C1829" s="5" t="str">
        <f t="shared" ref="C1829" si="1132">C1828</f>
        <v>CH</v>
      </c>
      <c r="D1829" t="s">
        <v>1871</v>
      </c>
      <c r="E1829" t="str">
        <f t="shared" si="1121"/>
        <v>GWth/yr.</v>
      </c>
      <c r="F1829" s="1" cm="1">
        <f t="array" ref="F1829">SUMPRODUCT(([1]OUT_FinalEnergyCons!$B$4:$B$10000="var_cap")*1, (ISNUMBER(SEARCH("RH*-SHCOABR",[1]OUT_FinalEnergyCons!$A$4:$A$10000)))*1,[1]OUT_FinalEnergyCons!D$4:D$10000)</f>
        <v>7.0000000000000001E-3</v>
      </c>
      <c r="G1829" s="1" cm="1">
        <f t="array" ref="G1829">SUMPRODUCT(([1]OUT_FinalEnergyCons!$B$4:$B$10000="var_cap")*1, (ISNUMBER(SEARCH("RH*-SHCOABR",[1]OUT_FinalEnergyCons!$A$4:$A$10000)))*1,[1]OUT_FinalEnergyCons!E$4:E$10000)</f>
        <v>6.9879747682473417E-3</v>
      </c>
      <c r="H1829" s="1" cm="1">
        <f t="array" ref="H1829">SUMPRODUCT(([1]OUT_FinalEnergyCons!$B$4:$B$10000="var_cap")*1, (ISNUMBER(SEARCH("RH*-SHCOABR",[1]OUT_FinalEnergyCons!$A$4:$A$10000)))*1,[1]OUT_FinalEnergyCons!F$4:F$10000)</f>
        <v>2.9115264894507406E-3</v>
      </c>
      <c r="I1829" s="1" cm="1">
        <f t="array" ref="I1829">SUMPRODUCT(([1]OUT_FinalEnergyCons!$B$4:$B$10000="var_cap")*1, (ISNUMBER(SEARCH("RH*-SHCOABR",[1]OUT_FinalEnergyCons!$A$4:$A$10000)))*1,[1]OUT_FinalEnergyCons!G$4:G$10000)</f>
        <v>2.5480212792610389E-5</v>
      </c>
      <c r="J1829" s="1" cm="1">
        <f t="array" ref="J1829">SUMPRODUCT(([1]OUT_FinalEnergyCons!$B$4:$B$10000="var_cap")*1, (ISNUMBER(SEARCH("RH*-SHCOABR",[1]OUT_FinalEnergyCons!$A$4:$A$10000)))*1,[1]OUT_FinalEnergyCons!H$4:H$10000)</f>
        <v>0</v>
      </c>
      <c r="K1829" s="1" cm="1">
        <f t="array" ref="K1829">SUMPRODUCT(([1]OUT_FinalEnergyCons!$B$4:$B$10000="var_cap")*1, (ISNUMBER(SEARCH("RH*-SHCOABR",[1]OUT_FinalEnergyCons!$A$4:$A$10000)))*1,[1]OUT_FinalEnergyCons!I$4:I$10000)</f>
        <v>0</v>
      </c>
    </row>
    <row r="1830" spans="2:11" x14ac:dyDescent="0.35">
      <c r="B1830" s="5" t="str">
        <f t="shared" si="1102"/>
        <v>SPS2</v>
      </c>
      <c r="C1830" s="5" t="str">
        <f>C1829</f>
        <v>CH</v>
      </c>
      <c r="D1830" t="s">
        <v>1872</v>
      </c>
      <c r="E1830" t="str">
        <f>E1829</f>
        <v>GWth/yr.</v>
      </c>
      <c r="F1830" s="1">
        <f>F1831</f>
        <v>0.68956337663901146</v>
      </c>
      <c r="G1830" s="1">
        <f t="shared" ref="G1830:K1830" si="1133">G1831</f>
        <v>0.7937551722910805</v>
      </c>
      <c r="H1830" s="1">
        <f t="shared" si="1133"/>
        <v>0.82502127359105071</v>
      </c>
      <c r="I1830" s="1">
        <f t="shared" si="1133"/>
        <v>0.82500495520381689</v>
      </c>
      <c r="J1830" s="1">
        <f t="shared" si="1133"/>
        <v>0.52119386198495621</v>
      </c>
      <c r="K1830" s="1">
        <f t="shared" si="1133"/>
        <v>0.29379300946937692</v>
      </c>
    </row>
    <row r="1831" spans="2:11" x14ac:dyDescent="0.35">
      <c r="B1831" s="5" t="str">
        <f t="shared" si="1102"/>
        <v>SPS2</v>
      </c>
      <c r="C1831" s="5" t="str">
        <f t="shared" ref="C1831" si="1134">C1830</f>
        <v>CH</v>
      </c>
      <c r="D1831" t="s">
        <v>1873</v>
      </c>
      <c r="E1831" t="str">
        <f t="shared" si="1121"/>
        <v>GWth/yr.</v>
      </c>
      <c r="F1831" s="1" cm="1">
        <f t="array" ref="F1831">SUMPRODUCT(([1]OUT_FinalEnergyCons!$B$4:$B$10000="var_cap")*1, (ISNUMBER(SEARCH("RH*-SHWODBR",[1]OUT_FinalEnergyCons!$A$4:$A$10000)))*1,[1]OUT_FinalEnergyCons!D$4:D$10000)</f>
        <v>0.68956337663901146</v>
      </c>
      <c r="G1831" s="1" cm="1">
        <f t="array" ref="G1831">SUMPRODUCT(([1]OUT_FinalEnergyCons!$B$4:$B$10000="var_cap")*1, (ISNUMBER(SEARCH("RH*-SHWODBR",[1]OUT_FinalEnergyCons!$A$4:$A$10000)))*1,[1]OUT_FinalEnergyCons!E$4:E$10000)</f>
        <v>0.7937551722910805</v>
      </c>
      <c r="H1831" s="1" cm="1">
        <f t="array" ref="H1831">SUMPRODUCT(([1]OUT_FinalEnergyCons!$B$4:$B$10000="var_cap")*1, (ISNUMBER(SEARCH("RH*-SHWODBR",[1]OUT_FinalEnergyCons!$A$4:$A$10000)))*1,[1]OUT_FinalEnergyCons!F$4:F$10000)</f>
        <v>0.82502127359105071</v>
      </c>
      <c r="I1831" s="1" cm="1">
        <f t="array" ref="I1831">SUMPRODUCT(([1]OUT_FinalEnergyCons!$B$4:$B$10000="var_cap")*1, (ISNUMBER(SEARCH("RH*-SHWODBR",[1]OUT_FinalEnergyCons!$A$4:$A$10000)))*1,[1]OUT_FinalEnergyCons!G$4:G$10000)</f>
        <v>0.82500495520381689</v>
      </c>
      <c r="J1831" s="1" cm="1">
        <f t="array" ref="J1831">SUMPRODUCT(([1]OUT_FinalEnergyCons!$B$4:$B$10000="var_cap")*1, (ISNUMBER(SEARCH("RH*-SHWODBR",[1]OUT_FinalEnergyCons!$A$4:$A$10000)))*1,[1]OUT_FinalEnergyCons!H$4:H$10000)</f>
        <v>0.52119386198495621</v>
      </c>
      <c r="K1831" s="1" cm="1">
        <f t="array" ref="K1831">SUMPRODUCT(([1]OUT_FinalEnergyCons!$B$4:$B$10000="var_cap")*1, (ISNUMBER(SEARCH("RH*-SHWODBR",[1]OUT_FinalEnergyCons!$A$4:$A$10000)))*1,[1]OUT_FinalEnergyCons!I$4:I$10000)</f>
        <v>0.29379300946937692</v>
      </c>
    </row>
    <row r="1832" spans="2:11" x14ac:dyDescent="0.35">
      <c r="B1832" s="5" t="str">
        <f t="shared" si="1102"/>
        <v>SPS2</v>
      </c>
      <c r="C1832" s="5" t="str">
        <f t="shared" ref="C1832" si="1135">C1831</f>
        <v>CH</v>
      </c>
      <c r="D1832" t="s">
        <v>1874</v>
      </c>
      <c r="E1832" t="str">
        <f t="shared" si="1121"/>
        <v>GWth/yr.</v>
      </c>
      <c r="F1832" s="1">
        <f>F1833</f>
        <v>0.20438723399505071</v>
      </c>
      <c r="G1832" s="1">
        <f t="shared" ref="G1832:K1832" si="1136">G1833</f>
        <v>0.24040833485029667</v>
      </c>
      <c r="H1832" s="1">
        <f t="shared" si="1136"/>
        <v>5.95508212937014E-2</v>
      </c>
      <c r="I1832" s="1">
        <f t="shared" si="1136"/>
        <v>5.9934316463130896E-2</v>
      </c>
      <c r="J1832" s="1">
        <f t="shared" si="1136"/>
        <v>3.3078011758049461E-2</v>
      </c>
      <c r="K1832" s="1">
        <f t="shared" si="1136"/>
        <v>2.7630180509642853E-2</v>
      </c>
    </row>
    <row r="1833" spans="2:11" x14ac:dyDescent="0.35">
      <c r="B1833" s="5" t="str">
        <f t="shared" si="1102"/>
        <v>SPS2</v>
      </c>
      <c r="C1833" s="5" t="str">
        <f t="shared" ref="C1833" si="1137">C1832</f>
        <v>CH</v>
      </c>
      <c r="D1833" t="s">
        <v>1875</v>
      </c>
      <c r="E1833" t="str">
        <f t="shared" si="1121"/>
        <v>GWth/yr.</v>
      </c>
      <c r="F1833" s="1" cm="1">
        <f t="array" ref="F1833">SUMPRODUCT(([1]OUT_FinalEnergyCons!$B$4:$B$10000="var_cap")*1, (ISNUMBER(SEARCH("RH*-SHPLTBR",[1]OUT_FinalEnergyCons!$A$4:$A$10000)))*1,[1]OUT_FinalEnergyCons!D$4:D$10000)</f>
        <v>0.20438723399505071</v>
      </c>
      <c r="G1833" s="1" cm="1">
        <f t="array" ref="G1833">SUMPRODUCT(([1]OUT_FinalEnergyCons!$B$4:$B$10000="var_cap")*1, (ISNUMBER(SEARCH("RH*-SHPLTBR",[1]OUT_FinalEnergyCons!$A$4:$A$10000)))*1,[1]OUT_FinalEnergyCons!E$4:E$10000)</f>
        <v>0.24040833485029667</v>
      </c>
      <c r="H1833" s="1" cm="1">
        <f t="array" ref="H1833">SUMPRODUCT(([1]OUT_FinalEnergyCons!$B$4:$B$10000="var_cap")*1, (ISNUMBER(SEARCH("RH*-SHPLTBR",[1]OUT_FinalEnergyCons!$A$4:$A$10000)))*1,[1]OUT_FinalEnergyCons!F$4:F$10000)</f>
        <v>5.95508212937014E-2</v>
      </c>
      <c r="I1833" s="1" cm="1">
        <f t="array" ref="I1833">SUMPRODUCT(([1]OUT_FinalEnergyCons!$B$4:$B$10000="var_cap")*1, (ISNUMBER(SEARCH("RH*-SHPLTBR",[1]OUT_FinalEnergyCons!$A$4:$A$10000)))*1,[1]OUT_FinalEnergyCons!G$4:G$10000)</f>
        <v>5.9934316463130896E-2</v>
      </c>
      <c r="J1833" s="1" cm="1">
        <f t="array" ref="J1833">SUMPRODUCT(([1]OUT_FinalEnergyCons!$B$4:$B$10000="var_cap")*1, (ISNUMBER(SEARCH("RH*-SHPLTBR",[1]OUT_FinalEnergyCons!$A$4:$A$10000)))*1,[1]OUT_FinalEnergyCons!H$4:H$10000)</f>
        <v>3.3078011758049461E-2</v>
      </c>
      <c r="K1833" s="1" cm="1">
        <f t="array" ref="K1833">SUMPRODUCT(([1]OUT_FinalEnergyCons!$B$4:$B$10000="var_cap")*1, (ISNUMBER(SEARCH("RH*-SHPLTBR",[1]OUT_FinalEnergyCons!$A$4:$A$10000)))*1,[1]OUT_FinalEnergyCons!I$4:I$10000)</f>
        <v>2.7630180509642853E-2</v>
      </c>
    </row>
    <row r="1834" spans="2:11" x14ac:dyDescent="0.35">
      <c r="B1834" s="5" t="str">
        <f t="shared" si="1102"/>
        <v>SPS2</v>
      </c>
      <c r="C1834" s="5" t="str">
        <f t="shared" ref="C1834" si="1138">C1833</f>
        <v>CH</v>
      </c>
      <c r="D1834" t="s">
        <v>1876</v>
      </c>
      <c r="E1834" t="str">
        <f t="shared" si="1121"/>
        <v>GWth/yr.</v>
      </c>
      <c r="F1834" s="1">
        <f>F1835</f>
        <v>0.11409884323638678</v>
      </c>
      <c r="G1834" s="1">
        <f t="shared" ref="G1834:K1834" si="1139">G1835</f>
        <v>0.13692730037226236</v>
      </c>
      <c r="H1834" s="1">
        <f t="shared" si="1139"/>
        <v>0.13699273505866047</v>
      </c>
      <c r="I1834" s="1">
        <f t="shared" si="1139"/>
        <v>0.13702157301703805</v>
      </c>
      <c r="J1834" s="1">
        <f t="shared" si="1139"/>
        <v>6.0443530763658222E-3</v>
      </c>
      <c r="K1834" s="1">
        <f t="shared" si="1139"/>
        <v>5.1072283949569978E-3</v>
      </c>
    </row>
    <row r="1835" spans="2:11" x14ac:dyDescent="0.35">
      <c r="B1835" s="5" t="str">
        <f t="shared" si="1102"/>
        <v>SPS2</v>
      </c>
      <c r="C1835" s="5" t="str">
        <f t="shared" ref="C1835" si="1140">C1834</f>
        <v>CH</v>
      </c>
      <c r="D1835" t="s">
        <v>1877</v>
      </c>
      <c r="E1835" t="str">
        <f t="shared" si="1121"/>
        <v>GWth/yr.</v>
      </c>
      <c r="F1835" s="1" cm="1">
        <f t="array" ref="F1835">SUMPRODUCT(([1]OUT_FinalEnergyCons!$B$4:$B$10000="var_cap")*1, (ISNUMBER(SEARCH("RH*-SHSOLBR",[1]OUT_FinalEnergyCons!$A$4:$A$10000)))*1,[1]OUT_FinalEnergyCons!D$4:D$10000)</f>
        <v>0.11409884323638678</v>
      </c>
      <c r="G1835" s="1" cm="1">
        <f t="array" ref="G1835">SUMPRODUCT(([1]OUT_FinalEnergyCons!$B$4:$B$10000="var_cap")*1, (ISNUMBER(SEARCH("RH*-SHSOLBR",[1]OUT_FinalEnergyCons!$A$4:$A$10000)))*1,[1]OUT_FinalEnergyCons!E$4:E$10000)</f>
        <v>0.13692730037226236</v>
      </c>
      <c r="H1835" s="1" cm="1">
        <f t="array" ref="H1835">SUMPRODUCT(([1]OUT_FinalEnergyCons!$B$4:$B$10000="var_cap")*1, (ISNUMBER(SEARCH("RH*-SHSOLBR",[1]OUT_FinalEnergyCons!$A$4:$A$10000)))*1,[1]OUT_FinalEnergyCons!F$4:F$10000)</f>
        <v>0.13699273505866047</v>
      </c>
      <c r="I1835" s="1" cm="1">
        <f t="array" ref="I1835">SUMPRODUCT(([1]OUT_FinalEnergyCons!$B$4:$B$10000="var_cap")*1, (ISNUMBER(SEARCH("RH*-SHSOLBR",[1]OUT_FinalEnergyCons!$A$4:$A$10000)))*1,[1]OUT_FinalEnergyCons!G$4:G$10000)</f>
        <v>0.13702157301703805</v>
      </c>
      <c r="J1835" s="1" cm="1">
        <f t="array" ref="J1835">SUMPRODUCT(([1]OUT_FinalEnergyCons!$B$4:$B$10000="var_cap")*1, (ISNUMBER(SEARCH("RH*-SHSOLBR",[1]OUT_FinalEnergyCons!$A$4:$A$10000)))*1,[1]OUT_FinalEnergyCons!H$4:H$10000)</f>
        <v>6.0443530763658222E-3</v>
      </c>
      <c r="K1835" s="1" cm="1">
        <f t="array" ref="K1835">SUMPRODUCT(([1]OUT_FinalEnergyCons!$B$4:$B$10000="var_cap")*1, (ISNUMBER(SEARCH("RH*-SHSOLBR",[1]OUT_FinalEnergyCons!$A$4:$A$10000)))*1,[1]OUT_FinalEnergyCons!I$4:I$10000)</f>
        <v>5.1072283949569978E-3</v>
      </c>
    </row>
    <row r="1836" spans="2:11" x14ac:dyDescent="0.35">
      <c r="B1836" s="5" t="str">
        <f t="shared" si="1102"/>
        <v>SPS2</v>
      </c>
      <c r="C1836" s="5" t="str">
        <f t="shared" ref="C1836" si="1141">C1835</f>
        <v>CH</v>
      </c>
      <c r="D1836" t="s">
        <v>1878</v>
      </c>
      <c r="E1836" t="str">
        <f t="shared" si="1121"/>
        <v>GWth/yr.</v>
      </c>
      <c r="F1836" s="1">
        <f>F1837</f>
        <v>0</v>
      </c>
      <c r="G1836" s="1">
        <f t="shared" ref="G1836:K1836" si="1142">G1837</f>
        <v>0</v>
      </c>
      <c r="H1836" s="1">
        <f t="shared" si="1142"/>
        <v>0</v>
      </c>
      <c r="I1836" s="1">
        <f t="shared" si="1142"/>
        <v>0</v>
      </c>
      <c r="J1836" s="1">
        <f t="shared" si="1142"/>
        <v>0</v>
      </c>
      <c r="K1836" s="1">
        <f t="shared" si="1142"/>
        <v>0</v>
      </c>
    </row>
    <row r="1837" spans="2:11" x14ac:dyDescent="0.35">
      <c r="B1837" s="5" t="str">
        <f t="shared" si="1102"/>
        <v>SPS2</v>
      </c>
      <c r="C1837" s="5" t="str">
        <f t="shared" ref="C1837" si="1143">C1836</f>
        <v>CH</v>
      </c>
      <c r="D1837" t="s">
        <v>1879</v>
      </c>
      <c r="E1837" t="str">
        <f t="shared" si="1121"/>
        <v>GWth/yr.</v>
      </c>
      <c r="F1837" s="1" cm="1">
        <f t="array" ref="F1837">SUMPRODUCT(([1]OUT_FinalEnergyCons!$B$4:$B$10000="var_cap")*1, (ISNUMBER(SEARCH("RH*-SHH2BR",[1]OUT_FinalEnergyCons!$A$4:$A$10000)))*1,[1]OUT_FinalEnergyCons!D$4:D$10000)</f>
        <v>0</v>
      </c>
      <c r="G1837" s="1" cm="1">
        <f t="array" ref="G1837">SUMPRODUCT(([1]OUT_FinalEnergyCons!$B$4:$B$10000="var_cap")*1, (ISNUMBER(SEARCH("RH*-SHH2BR",[1]OUT_FinalEnergyCons!$A$4:$A$10000)))*1,[1]OUT_FinalEnergyCons!E$4:E$10000)</f>
        <v>0</v>
      </c>
      <c r="H1837" s="1" cm="1">
        <f t="array" ref="H1837">SUMPRODUCT(([1]OUT_FinalEnergyCons!$B$4:$B$10000="var_cap")*1, (ISNUMBER(SEARCH("RH*-SHH2BR",[1]OUT_FinalEnergyCons!$A$4:$A$10000)))*1,[1]OUT_FinalEnergyCons!F$4:F$10000)</f>
        <v>0</v>
      </c>
      <c r="I1837" s="1" cm="1">
        <f t="array" ref="I1837">SUMPRODUCT(([1]OUT_FinalEnergyCons!$B$4:$B$10000="var_cap")*1, (ISNUMBER(SEARCH("RH*-SHH2BR",[1]OUT_FinalEnergyCons!$A$4:$A$10000)))*1,[1]OUT_FinalEnergyCons!G$4:G$10000)</f>
        <v>0</v>
      </c>
      <c r="J1837" s="1" cm="1">
        <f t="array" ref="J1837">SUMPRODUCT(([1]OUT_FinalEnergyCons!$B$4:$B$10000="var_cap")*1, (ISNUMBER(SEARCH("RH*-SHH2BR",[1]OUT_FinalEnergyCons!$A$4:$A$10000)))*1,[1]OUT_FinalEnergyCons!H$4:H$10000)</f>
        <v>0</v>
      </c>
      <c r="K1837" s="1" cm="1">
        <f t="array" ref="K1837">SUMPRODUCT(([1]OUT_FinalEnergyCons!$B$4:$B$10000="var_cap")*1, (ISNUMBER(SEARCH("RH*-SHH2BR",[1]OUT_FinalEnergyCons!$A$4:$A$10000)))*1,[1]OUT_FinalEnergyCons!I$4:I$10000)</f>
        <v>0</v>
      </c>
    </row>
    <row r="1838" spans="2:11" x14ac:dyDescent="0.35">
      <c r="B1838" s="5" t="str">
        <f t="shared" si="1102"/>
        <v>SPS2</v>
      </c>
      <c r="C1838" s="5" t="str">
        <f t="shared" ref="C1838" si="1144">C1837</f>
        <v>CH</v>
      </c>
      <c r="D1838" t="s">
        <v>1880</v>
      </c>
      <c r="E1838" t="str">
        <f t="shared" si="1121"/>
        <v>GWth/yr.</v>
      </c>
      <c r="F1838" s="1">
        <f>SUM(F1839,F1842,F1844,F1847,F1849,F1851,F1853,F1855)</f>
        <v>1.8610124407359392</v>
      </c>
      <c r="G1838" s="1">
        <f t="shared" ref="G1838" si="1145">SUM(G1839,G1842,G1844,G1847,G1849,G1851,G1853,G1855)</f>
        <v>2.0098952321019383</v>
      </c>
      <c r="H1838" s="1">
        <f t="shared" ref="H1838" si="1146">SUM(H1839,H1842,H1844,H1847,H1849,H1851,H1853,H1855)</f>
        <v>1.9128259726321142</v>
      </c>
      <c r="I1838" s="1">
        <f t="shared" ref="I1838" si="1147">SUM(I1839,I1842,I1844,I1847,I1849,I1851,I1853,I1855)</f>
        <v>2.0450366431187366</v>
      </c>
      <c r="J1838" s="1">
        <f t="shared" ref="J1838" si="1148">SUM(J1839,J1842,J1844,J1847,J1849,J1851,J1853,J1855)</f>
        <v>2.0046740693286909</v>
      </c>
      <c r="K1838" s="1">
        <f t="shared" ref="K1838" si="1149">SUM(K1839,K1842,K1844,K1847,K1849,K1851,K1853,K1855)</f>
        <v>2.0078090468835232</v>
      </c>
    </row>
    <row r="1839" spans="2:11" x14ac:dyDescent="0.35">
      <c r="B1839" s="5" t="str">
        <f t="shared" si="1102"/>
        <v>SPS2</v>
      </c>
      <c r="C1839" s="5" t="str">
        <f t="shared" ref="C1839" si="1150">C1838</f>
        <v>CH</v>
      </c>
      <c r="D1839" t="s">
        <v>1881</v>
      </c>
      <c r="E1839" t="str">
        <f t="shared" si="1121"/>
        <v>GWth/yr.</v>
      </c>
      <c r="F1839" s="1">
        <f>SUM(F1840:F1841)</f>
        <v>0.65095433221379462</v>
      </c>
      <c r="G1839" s="1">
        <f t="shared" ref="G1839" si="1151">SUM(G1840:G1841)</f>
        <v>0.71839812300910633</v>
      </c>
      <c r="H1839" s="1">
        <f t="shared" ref="H1839" si="1152">SUM(H1840:H1841)</f>
        <v>0.65399302428365247</v>
      </c>
      <c r="I1839" s="1">
        <f t="shared" ref="I1839" si="1153">SUM(I1840:I1841)</f>
        <v>0.74270119579019833</v>
      </c>
      <c r="J1839" s="1">
        <f t="shared" ref="J1839" si="1154">SUM(J1840:J1841)</f>
        <v>1.0187230123183353</v>
      </c>
      <c r="K1839" s="1">
        <f t="shared" ref="K1839" si="1155">SUM(K1840:K1841)</f>
        <v>1.1352109457592174</v>
      </c>
    </row>
    <row r="1840" spans="2:11" x14ac:dyDescent="0.35">
      <c r="B1840" s="5" t="str">
        <f t="shared" si="1102"/>
        <v>SPS2</v>
      </c>
      <c r="C1840" s="5" t="str">
        <f t="shared" ref="C1840" si="1156">C1839</f>
        <v>CH</v>
      </c>
      <c r="D1840" t="s">
        <v>1882</v>
      </c>
      <c r="E1840" t="str">
        <f t="shared" si="1121"/>
        <v>GWth/yr.</v>
      </c>
      <c r="F1840" s="1" cm="1">
        <f t="array" ref="F1840">SUMPRODUCT(([1]OUT_FinalEnergyCons!$B$4:$B$10000="var_cap")*1,(ISNUMBER(SEARCH("RH*-WHELCBR",[1]OUT_FinalEnergyCons!$A$4:$A$10000)))*1,[1]OUT_FinalEnergyCons!D$4:D$10000)</f>
        <v>0.43759846727813512</v>
      </c>
      <c r="G1840" s="1" cm="1">
        <f t="array" ref="G1840">SUMPRODUCT(([1]OUT_FinalEnergyCons!$B$4:$B$10000="var_cap")*1,(ISNUMBER(SEARCH("RH*-WHELCBR",[1]OUT_FinalEnergyCons!$A$4:$A$10000)))*1,[1]OUT_FinalEnergyCons!E$4:E$10000)</f>
        <v>0.4722511089127</v>
      </c>
      <c r="H1840" s="1" cm="1">
        <f t="array" ref="H1840">SUMPRODUCT(([1]OUT_FinalEnergyCons!$B$4:$B$10000="var_cap")*1,(ISNUMBER(SEARCH("RH*-WHELCBR",[1]OUT_FinalEnergyCons!$A$4:$A$10000)))*1,[1]OUT_FinalEnergyCons!F$4:F$10000)</f>
        <v>0.32870821340434853</v>
      </c>
      <c r="I1840" s="1" cm="1">
        <f t="array" ref="I1840">SUMPRODUCT(([1]OUT_FinalEnergyCons!$B$4:$B$10000="var_cap")*1,(ISNUMBER(SEARCH("RH*-WHELCBR",[1]OUT_FinalEnergyCons!$A$4:$A$10000)))*1,[1]OUT_FinalEnergyCons!G$4:G$10000)</f>
        <v>0.2483782531896927</v>
      </c>
      <c r="J1840" s="1" cm="1">
        <f t="array" ref="J1840">SUMPRODUCT(([1]OUT_FinalEnergyCons!$B$4:$B$10000="var_cap")*1,(ISNUMBER(SEARCH("RH*-WHELCBR",[1]OUT_FinalEnergyCons!$A$4:$A$10000)))*1,[1]OUT_FinalEnergyCons!H$4:H$10000)</f>
        <v>0.19168328966301648</v>
      </c>
      <c r="K1840" s="1" cm="1">
        <f t="array" ref="K1840">SUMPRODUCT(([1]OUT_FinalEnergyCons!$B$4:$B$10000="var_cap")*1,(ISNUMBER(SEARCH("RH*-WHELCBR",[1]OUT_FinalEnergyCons!$A$4:$A$10000)))*1,[1]OUT_FinalEnergyCons!I$4:I$10000)</f>
        <v>0.12042487475183619</v>
      </c>
    </row>
    <row r="1841" spans="2:11" x14ac:dyDescent="0.35">
      <c r="B1841" s="5" t="str">
        <f t="shared" si="1102"/>
        <v>SPS2</v>
      </c>
      <c r="C1841" s="5" t="str">
        <f t="shared" ref="C1841" si="1157">C1840</f>
        <v>CH</v>
      </c>
      <c r="D1841" t="s">
        <v>1883</v>
      </c>
      <c r="E1841" t="str">
        <f t="shared" si="1121"/>
        <v>GWth/yr.</v>
      </c>
      <c r="F1841" s="1" cm="1">
        <f t="array" ref="F1841">SUMPRODUCT(([1]OUT_FinalEnergyCons!$B$4:$B$10000="var_cap")*1,ISNUMBER(SEARCH("RH*-WHELCHP",[1]OUT_FinalEnergyCons!$A$4:$A$10000))*1,[1]OUT_FinalEnergyCons!D$4:D$10000)</f>
        <v>0.2133558649356595</v>
      </c>
      <c r="G1841" s="1" cm="1">
        <f t="array" ref="G1841">SUMPRODUCT(([1]OUT_FinalEnergyCons!$B$4:$B$10000="var_cap")*1,ISNUMBER(SEARCH("RH*-WHELCHP",[1]OUT_FinalEnergyCons!$A$4:$A$10000))*1,[1]OUT_FinalEnergyCons!E$4:E$10000)</f>
        <v>0.24614701409640632</v>
      </c>
      <c r="H1841" s="1" cm="1">
        <f t="array" ref="H1841">SUMPRODUCT(([1]OUT_FinalEnergyCons!$B$4:$B$10000="var_cap")*1,ISNUMBER(SEARCH("RH*-WHELCHP",[1]OUT_FinalEnergyCons!$A$4:$A$10000))*1,[1]OUT_FinalEnergyCons!F$4:F$10000)</f>
        <v>0.32528481087930394</v>
      </c>
      <c r="I1841" s="1" cm="1">
        <f t="array" ref="I1841">SUMPRODUCT(([1]OUT_FinalEnergyCons!$B$4:$B$10000="var_cap")*1,ISNUMBER(SEARCH("RH*-WHELCHP",[1]OUT_FinalEnergyCons!$A$4:$A$10000))*1,[1]OUT_FinalEnergyCons!G$4:G$10000)</f>
        <v>0.49432294260050569</v>
      </c>
      <c r="J1841" s="1" cm="1">
        <f t="array" ref="J1841">SUMPRODUCT(([1]OUT_FinalEnergyCons!$B$4:$B$10000="var_cap")*1,ISNUMBER(SEARCH("RH*-WHELCHP",[1]OUT_FinalEnergyCons!$A$4:$A$10000))*1,[1]OUT_FinalEnergyCons!H$4:H$10000)</f>
        <v>0.82703972265531889</v>
      </c>
      <c r="K1841" s="1" cm="1">
        <f t="array" ref="K1841">SUMPRODUCT(([1]OUT_FinalEnergyCons!$B$4:$B$10000="var_cap")*1,ISNUMBER(SEARCH("RH*-WHELCHP",[1]OUT_FinalEnergyCons!$A$4:$A$10000))*1,[1]OUT_FinalEnergyCons!I$4:I$10000)</f>
        <v>1.0147860710073813</v>
      </c>
    </row>
    <row r="1842" spans="2:11" x14ac:dyDescent="0.35">
      <c r="B1842" s="5" t="str">
        <f t="shared" si="1102"/>
        <v>SPS2</v>
      </c>
      <c r="C1842" s="5" t="str">
        <f t="shared" ref="C1842" si="1158">C1841</f>
        <v>CH</v>
      </c>
      <c r="D1842" t="s">
        <v>1884</v>
      </c>
      <c r="E1842" t="str">
        <f t="shared" si="1121"/>
        <v>GWth/yr.</v>
      </c>
      <c r="F1842" s="1">
        <f>F1843</f>
        <v>0.47738433216181703</v>
      </c>
      <c r="G1842" s="1">
        <f t="shared" ref="G1842" si="1159">G1843</f>
        <v>0.47737087653175192</v>
      </c>
      <c r="H1842" s="1">
        <f t="shared" ref="H1842" si="1160">H1843</f>
        <v>0.33417947431081119</v>
      </c>
      <c r="I1842" s="1">
        <f t="shared" ref="I1842" si="1161">I1843</f>
        <v>0.2285957951774053</v>
      </c>
      <c r="J1842" s="1">
        <f t="shared" ref="J1842" si="1162">J1843</f>
        <v>4.9853089211759433E-2</v>
      </c>
      <c r="K1842" s="1">
        <f t="shared" ref="K1842" si="1163">K1843</f>
        <v>7.0935853099748994E-3</v>
      </c>
    </row>
    <row r="1843" spans="2:11" x14ac:dyDescent="0.35">
      <c r="B1843" s="5" t="str">
        <f t="shared" si="1102"/>
        <v>SPS2</v>
      </c>
      <c r="C1843" s="5" t="str">
        <f t="shared" ref="C1843" si="1164">C1842</f>
        <v>CH</v>
      </c>
      <c r="D1843" t="s">
        <v>1885</v>
      </c>
      <c r="E1843" t="str">
        <f t="shared" si="1121"/>
        <v>GWth/yr.</v>
      </c>
      <c r="F1843" s="1" cm="1">
        <f t="array" ref="F1843">SUMPRODUCT(([1]OUT_FinalEnergyCons!$B$4:$B$10000="var_cap")*1, (ISNUMBER(SEARCH("RH*-WHLFOBR",[1]OUT_FinalEnergyCons!$A$4:$A$10000)))*1,[1]OUT_FinalEnergyCons!D$4:D$10000)</f>
        <v>0.47738433216181703</v>
      </c>
      <c r="G1843" s="1" cm="1">
        <f t="array" ref="G1843">SUMPRODUCT(([1]OUT_FinalEnergyCons!$B$4:$B$10000="var_cap")*1, (ISNUMBER(SEARCH("RH*-WHLFOBR",[1]OUT_FinalEnergyCons!$A$4:$A$10000)))*1,[1]OUT_FinalEnergyCons!E$4:E$10000)</f>
        <v>0.47737087653175192</v>
      </c>
      <c r="H1843" s="1" cm="1">
        <f t="array" ref="H1843">SUMPRODUCT(([1]OUT_FinalEnergyCons!$B$4:$B$10000="var_cap")*1, (ISNUMBER(SEARCH("RH*-WHLFOBR",[1]OUT_FinalEnergyCons!$A$4:$A$10000)))*1,[1]OUT_FinalEnergyCons!F$4:F$10000)</f>
        <v>0.33417947431081119</v>
      </c>
      <c r="I1843" s="1" cm="1">
        <f t="array" ref="I1843">SUMPRODUCT(([1]OUT_FinalEnergyCons!$B$4:$B$10000="var_cap")*1, (ISNUMBER(SEARCH("RH*-WHLFOBR",[1]OUT_FinalEnergyCons!$A$4:$A$10000)))*1,[1]OUT_FinalEnergyCons!G$4:G$10000)</f>
        <v>0.2285957951774053</v>
      </c>
      <c r="J1843" s="1" cm="1">
        <f t="array" ref="J1843">SUMPRODUCT(([1]OUT_FinalEnergyCons!$B$4:$B$10000="var_cap")*1, (ISNUMBER(SEARCH("RH*-WHLFOBR",[1]OUT_FinalEnergyCons!$A$4:$A$10000)))*1,[1]OUT_FinalEnergyCons!H$4:H$10000)</f>
        <v>4.9853089211759433E-2</v>
      </c>
      <c r="K1843" s="1" cm="1">
        <f t="array" ref="K1843">SUMPRODUCT(([1]OUT_FinalEnergyCons!$B$4:$B$10000="var_cap")*1, (ISNUMBER(SEARCH("RH*-WHLFOBR",[1]OUT_FinalEnergyCons!$A$4:$A$10000)))*1,[1]OUT_FinalEnergyCons!I$4:I$10000)</f>
        <v>7.0935853099748994E-3</v>
      </c>
    </row>
    <row r="1844" spans="2:11" x14ac:dyDescent="0.35">
      <c r="B1844" s="5" t="str">
        <f t="shared" ref="B1844:B1907" si="1165">B1843</f>
        <v>SPS2</v>
      </c>
      <c r="C1844" s="5" t="str">
        <f t="shared" ref="C1844" si="1166">C1843</f>
        <v>CH</v>
      </c>
      <c r="D1844" t="s">
        <v>1886</v>
      </c>
      <c r="E1844" t="str">
        <f t="shared" si="1121"/>
        <v>GWth/yr.</v>
      </c>
      <c r="F1844" s="1">
        <f>SUM(F1845:F1846)</f>
        <v>0.43610075806793741</v>
      </c>
      <c r="G1844" s="1">
        <f t="shared" ref="G1844" si="1167">SUM(G1845:G1846)</f>
        <v>0.42803306994705126</v>
      </c>
      <c r="H1844" s="1">
        <f t="shared" ref="H1844" si="1168">SUM(H1845:H1846)</f>
        <v>0.50072784482139054</v>
      </c>
      <c r="I1844" s="1">
        <f t="shared" ref="I1844" si="1169">SUM(I1845:I1846)</f>
        <v>0.64842345732682771</v>
      </c>
      <c r="J1844" s="1">
        <f t="shared" ref="J1844" si="1170">SUM(J1845:J1846)</f>
        <v>0.53301264460962827</v>
      </c>
      <c r="K1844" s="1">
        <f t="shared" ref="K1844" si="1171">SUM(K1845:K1846)</f>
        <v>0.52870109762986761</v>
      </c>
    </row>
    <row r="1845" spans="2:11" x14ac:dyDescent="0.35">
      <c r="B1845" s="5" t="str">
        <f t="shared" si="1165"/>
        <v>SPS2</v>
      </c>
      <c r="C1845" s="5" t="str">
        <f t="shared" ref="C1845" si="1172">C1844</f>
        <v>CH</v>
      </c>
      <c r="D1845" t="s">
        <v>1887</v>
      </c>
      <c r="E1845" t="str">
        <f t="shared" si="1121"/>
        <v>GWth/yr.</v>
      </c>
      <c r="F1845" s="1" cm="1">
        <f t="array" ref="F1845">SUMPRODUCT(([1]OUT_FinalEnergyCons!$B$4:$B$10000="var_cap")*1, (ISNUMBER(SEARCH("RH*-WHNGABR",[1]OUT_FinalEnergyCons!$A$4:$A$10000)))*1,[1]OUT_FinalEnergyCons!D$4:D$10000)</f>
        <v>0.43610075802020798</v>
      </c>
      <c r="G1845" s="1" cm="1">
        <f t="array" ref="G1845">SUMPRODUCT(([1]OUT_FinalEnergyCons!$B$4:$B$10000="var_cap")*1, (ISNUMBER(SEARCH("RH*-WHNGABR",[1]OUT_FinalEnergyCons!$A$4:$A$10000)))*1,[1]OUT_FinalEnergyCons!E$4:E$10000)</f>
        <v>0.42803313416640842</v>
      </c>
      <c r="H1845" s="1" cm="1">
        <f t="array" ref="H1845">SUMPRODUCT(([1]OUT_FinalEnergyCons!$B$4:$B$10000="var_cap")*1, (ISNUMBER(SEARCH("RH*-WHNGABR",[1]OUT_FinalEnergyCons!$A$4:$A$10000)))*1,[1]OUT_FinalEnergyCons!F$4:F$10000)</f>
        <v>0.4274969748215649</v>
      </c>
      <c r="I1845" s="1" cm="1">
        <f t="array" ref="I1845">SUMPRODUCT(([1]OUT_FinalEnergyCons!$B$4:$B$10000="var_cap")*1, (ISNUMBER(SEARCH("RH*-WHNGABR",[1]OUT_FinalEnergyCons!$A$4:$A$10000)))*1,[1]OUT_FinalEnergyCons!G$4:G$10000)</f>
        <v>0.42648509201829299</v>
      </c>
      <c r="J1845" s="1" cm="1">
        <f t="array" ref="J1845">SUMPRODUCT(([1]OUT_FinalEnergyCons!$B$4:$B$10000="var_cap")*1, (ISNUMBER(SEARCH("RH*-WHNGABR",[1]OUT_FinalEnergyCons!$A$4:$A$10000)))*1,[1]OUT_FinalEnergyCons!H$4:H$10000)</f>
        <v>0.10863340320952374</v>
      </c>
      <c r="K1845" s="1" cm="1">
        <f t="array" ref="K1845">SUMPRODUCT(([1]OUT_FinalEnergyCons!$B$4:$B$10000="var_cap")*1, (ISNUMBER(SEARCH("RH*-WHNGABR",[1]OUT_FinalEnergyCons!$A$4:$A$10000)))*1,[1]OUT_FinalEnergyCons!I$4:I$10000)</f>
        <v>6.1096103786441903E-2</v>
      </c>
    </row>
    <row r="1846" spans="2:11" x14ac:dyDescent="0.35">
      <c r="B1846" s="5" t="str">
        <f t="shared" si="1165"/>
        <v>SPS2</v>
      </c>
      <c r="C1846" s="5" t="str">
        <f t="shared" ref="C1846" si="1173">C1845</f>
        <v>CH</v>
      </c>
      <c r="D1846" t="s">
        <v>1888</v>
      </c>
      <c r="E1846" t="str">
        <f t="shared" si="1121"/>
        <v>GWth/yr.</v>
      </c>
      <c r="F1846" s="1" cm="1">
        <f t="array" ref="F1846">SUMPRODUCT(([1]OUT_FinalEnergyCons!$B$4:$B$10000="var_cap")*1,ISNUMBER(SEARCH("RH*-WHngahp",[1]OUT_FinalEnergyCons!$A$4:$A$10000))*1,[1]OUT_FinalEnergyCons!D$4:D$10000)</f>
        <v>4.7729432218241499E-11</v>
      </c>
      <c r="G1846" s="1" cm="1">
        <f t="array" ref="G1846">SUMPRODUCT(([1]OUT_FinalEnergyCons!$B$4:$B$10000="var_cap")*1,ISNUMBER(SEARCH("RH*-WHngahp",[1]OUT_FinalEnergyCons!$A$4:$A$10000))*1,[1]OUT_FinalEnergyCons!E$4:E$10000)</f>
        <v>-6.4219357190337805E-8</v>
      </c>
      <c r="H1846" s="1" cm="1">
        <f t="array" ref="H1846">SUMPRODUCT(([1]OUT_FinalEnergyCons!$B$4:$B$10000="var_cap")*1,ISNUMBER(SEARCH("RH*-WHngahp",[1]OUT_FinalEnergyCons!$A$4:$A$10000))*1,[1]OUT_FinalEnergyCons!F$4:F$10000)</f>
        <v>7.3230869999825587E-2</v>
      </c>
      <c r="I1846" s="1" cm="1">
        <f t="array" ref="I1846">SUMPRODUCT(([1]OUT_FinalEnergyCons!$B$4:$B$10000="var_cap")*1,ISNUMBER(SEARCH("RH*-WHngahp",[1]OUT_FinalEnergyCons!$A$4:$A$10000))*1,[1]OUT_FinalEnergyCons!G$4:G$10000)</f>
        <v>0.2219383653085347</v>
      </c>
      <c r="J1846" s="1" cm="1">
        <f t="array" ref="J1846">SUMPRODUCT(([1]OUT_FinalEnergyCons!$B$4:$B$10000="var_cap")*1,ISNUMBER(SEARCH("RH*-WHngahp",[1]OUT_FinalEnergyCons!$A$4:$A$10000))*1,[1]OUT_FinalEnergyCons!H$4:H$10000)</f>
        <v>0.42437924140010458</v>
      </c>
      <c r="K1846" s="1" cm="1">
        <f t="array" ref="K1846">SUMPRODUCT(([1]OUT_FinalEnergyCons!$B$4:$B$10000="var_cap")*1,ISNUMBER(SEARCH("RH*-WHngahp",[1]OUT_FinalEnergyCons!$A$4:$A$10000))*1,[1]OUT_FinalEnergyCons!I$4:I$10000)</f>
        <v>0.46760499384342574</v>
      </c>
    </row>
    <row r="1847" spans="2:11" x14ac:dyDescent="0.35">
      <c r="B1847" s="5" t="str">
        <f t="shared" si="1165"/>
        <v>SPS2</v>
      </c>
      <c r="C1847" s="5" t="str">
        <f t="shared" ref="C1847" si="1174">C1846</f>
        <v>CH</v>
      </c>
      <c r="D1847" t="s">
        <v>1889</v>
      </c>
      <c r="E1847" t="str">
        <f t="shared" si="1121"/>
        <v>GWth/yr.</v>
      </c>
      <c r="F1847" s="1">
        <f>F1848</f>
        <v>0</v>
      </c>
      <c r="G1847" s="1">
        <f t="shared" ref="G1847" si="1175">G1848</f>
        <v>0</v>
      </c>
      <c r="H1847" s="1">
        <f t="shared" ref="H1847" si="1176">H1848</f>
        <v>0</v>
      </c>
      <c r="I1847" s="1">
        <f t="shared" ref="I1847" si="1177">I1848</f>
        <v>0</v>
      </c>
      <c r="J1847" s="1">
        <f t="shared" ref="J1847" si="1178">J1848</f>
        <v>0</v>
      </c>
      <c r="K1847" s="1">
        <f t="shared" ref="K1847" si="1179">K1848</f>
        <v>0</v>
      </c>
    </row>
    <row r="1848" spans="2:11" x14ac:dyDescent="0.35">
      <c r="B1848" s="5" t="str">
        <f t="shared" si="1165"/>
        <v>SPS2</v>
      </c>
      <c r="C1848" s="5" t="str">
        <f t="shared" ref="C1848" si="1180">C1847</f>
        <v>CH</v>
      </c>
      <c r="D1848" t="s">
        <v>1890</v>
      </c>
      <c r="E1848" t="str">
        <f t="shared" si="1121"/>
        <v>GWth/yr.</v>
      </c>
      <c r="F1848" s="1" cm="1">
        <f t="array" ref="F1848">SUMPRODUCT(([1]OUT_FinalEnergyCons!$B$4:$B$10000="var_cap")*1, (ISNUMBER(SEARCH("RH*-WHCOABR",[1]OUT_FinalEnergyCons!$A$4:$A$10000)))*1,[1]OUT_FinalEnergyCons!D$4:D$10000)</f>
        <v>0</v>
      </c>
      <c r="G1848" s="1" cm="1">
        <f t="array" ref="G1848">SUMPRODUCT(([1]OUT_FinalEnergyCons!$B$4:$B$10000="var_cap")*1, (ISNUMBER(SEARCH("RH*-WHCOABR",[1]OUT_FinalEnergyCons!$A$4:$A$10000)))*1,[1]OUT_FinalEnergyCons!E$4:E$10000)</f>
        <v>0</v>
      </c>
      <c r="H1848" s="1" cm="1">
        <f t="array" ref="H1848">SUMPRODUCT(([1]OUT_FinalEnergyCons!$B$4:$B$10000="var_cap")*1, (ISNUMBER(SEARCH("RH*-WHCOABR",[1]OUT_FinalEnergyCons!$A$4:$A$10000)))*1,[1]OUT_FinalEnergyCons!F$4:F$10000)</f>
        <v>0</v>
      </c>
      <c r="I1848" s="1" cm="1">
        <f t="array" ref="I1848">SUMPRODUCT(([1]OUT_FinalEnergyCons!$B$4:$B$10000="var_cap")*1, (ISNUMBER(SEARCH("RH*-WHCOABR",[1]OUT_FinalEnergyCons!$A$4:$A$10000)))*1,[1]OUT_FinalEnergyCons!G$4:G$10000)</f>
        <v>0</v>
      </c>
      <c r="J1848" s="1" cm="1">
        <f t="array" ref="J1848">SUMPRODUCT(([1]OUT_FinalEnergyCons!$B$4:$B$10000="var_cap")*1, (ISNUMBER(SEARCH("RH*-WHCOABR",[1]OUT_FinalEnergyCons!$A$4:$A$10000)))*1,[1]OUT_FinalEnergyCons!H$4:H$10000)</f>
        <v>0</v>
      </c>
      <c r="K1848" s="1" cm="1">
        <f t="array" ref="K1848">SUMPRODUCT(([1]OUT_FinalEnergyCons!$B$4:$B$10000="var_cap")*1, (ISNUMBER(SEARCH("RH*-WHCOABR",[1]OUT_FinalEnergyCons!$A$4:$A$10000)))*1,[1]OUT_FinalEnergyCons!I$4:I$10000)</f>
        <v>0</v>
      </c>
    </row>
    <row r="1849" spans="2:11" x14ac:dyDescent="0.35">
      <c r="B1849" s="5" t="str">
        <f t="shared" si="1165"/>
        <v>SPS2</v>
      </c>
      <c r="C1849" s="5" t="str">
        <f t="shared" ref="C1849" si="1181">C1848</f>
        <v>CH</v>
      </c>
      <c r="D1849" t="s">
        <v>1891</v>
      </c>
      <c r="E1849" t="str">
        <f t="shared" si="1121"/>
        <v>GWth/yr.</v>
      </c>
      <c r="F1849" s="1">
        <f>F1850</f>
        <v>3.5322010722483803E-2</v>
      </c>
      <c r="G1849" s="1">
        <f t="shared" ref="G1849" si="1182">G1850</f>
        <v>4.0707839251883093E-2</v>
      </c>
      <c r="H1849" s="1">
        <f t="shared" ref="H1849" si="1183">H1850</f>
        <v>8.0975082382997346E-2</v>
      </c>
      <c r="I1849" s="1">
        <f t="shared" ref="I1849" si="1184">I1850</f>
        <v>8.2359451203279782E-2</v>
      </c>
      <c r="J1849" s="1">
        <f t="shared" ref="J1849" si="1185">J1850</f>
        <v>7.9566383345362271E-2</v>
      </c>
      <c r="K1849" s="1">
        <f t="shared" ref="K1849" si="1186">K1850</f>
        <v>6.1241869228648479E-2</v>
      </c>
    </row>
    <row r="1850" spans="2:11" x14ac:dyDescent="0.35">
      <c r="B1850" s="5" t="str">
        <f t="shared" si="1165"/>
        <v>SPS2</v>
      </c>
      <c r="C1850" s="5" t="str">
        <f t="shared" ref="C1850" si="1187">C1849</f>
        <v>CH</v>
      </c>
      <c r="D1850" t="s">
        <v>1892</v>
      </c>
      <c r="E1850" t="str">
        <f t="shared" si="1121"/>
        <v>GWth/yr.</v>
      </c>
      <c r="F1850" s="1" cm="1">
        <f t="array" ref="F1850">SUMPRODUCT(([1]OUT_FinalEnergyCons!$B$4:$B$10000="var_cap")*1, (ISNUMBER(SEARCH("RH*-WHWODBR",[1]OUT_FinalEnergyCons!$A$4:$A$10000)))*1,[1]OUT_FinalEnergyCons!D$4:D$10000)</f>
        <v>3.5322010722483803E-2</v>
      </c>
      <c r="G1850" s="1" cm="1">
        <f t="array" ref="G1850">SUMPRODUCT(([1]OUT_FinalEnergyCons!$B$4:$B$10000="var_cap")*1, (ISNUMBER(SEARCH("RH*-WHWODBR",[1]OUT_FinalEnergyCons!$A$4:$A$10000)))*1,[1]OUT_FinalEnergyCons!E$4:E$10000)</f>
        <v>4.0707839251883093E-2</v>
      </c>
      <c r="H1850" s="1" cm="1">
        <f t="array" ref="H1850">SUMPRODUCT(([1]OUT_FinalEnergyCons!$B$4:$B$10000="var_cap")*1, (ISNUMBER(SEARCH("RH*-WHWODBR",[1]OUT_FinalEnergyCons!$A$4:$A$10000)))*1,[1]OUT_FinalEnergyCons!F$4:F$10000)</f>
        <v>8.0975082382997346E-2</v>
      </c>
      <c r="I1850" s="1" cm="1">
        <f t="array" ref="I1850">SUMPRODUCT(([1]OUT_FinalEnergyCons!$B$4:$B$10000="var_cap")*1, (ISNUMBER(SEARCH("RH*-WHWODBR",[1]OUT_FinalEnergyCons!$A$4:$A$10000)))*1,[1]OUT_FinalEnergyCons!G$4:G$10000)</f>
        <v>8.2359451203279782E-2</v>
      </c>
      <c r="J1850" s="1" cm="1">
        <f t="array" ref="J1850">SUMPRODUCT(([1]OUT_FinalEnergyCons!$B$4:$B$10000="var_cap")*1, (ISNUMBER(SEARCH("RH*-WHWODBR",[1]OUT_FinalEnergyCons!$A$4:$A$10000)))*1,[1]OUT_FinalEnergyCons!H$4:H$10000)</f>
        <v>7.9566383345362271E-2</v>
      </c>
      <c r="K1850" s="1" cm="1">
        <f t="array" ref="K1850">SUMPRODUCT(([1]OUT_FinalEnergyCons!$B$4:$B$10000="var_cap")*1, (ISNUMBER(SEARCH("RH*-WHWODBR",[1]OUT_FinalEnergyCons!$A$4:$A$10000)))*1,[1]OUT_FinalEnergyCons!I$4:I$10000)</f>
        <v>6.1241869228648479E-2</v>
      </c>
    </row>
    <row r="1851" spans="2:11" x14ac:dyDescent="0.35">
      <c r="B1851" s="5" t="str">
        <f t="shared" si="1165"/>
        <v>SPS2</v>
      </c>
      <c r="C1851" s="5" t="str">
        <f t="shared" ref="C1851" si="1188">C1850</f>
        <v>CH</v>
      </c>
      <c r="D1851" t="s">
        <v>1893</v>
      </c>
      <c r="E1851" t="str">
        <f t="shared" si="1121"/>
        <v>GWth/yr.</v>
      </c>
      <c r="F1851" s="1">
        <f>F1852</f>
        <v>1.12410901121583E-2</v>
      </c>
      <c r="G1851" s="1">
        <f t="shared" ref="G1851" si="1189">G1852</f>
        <v>1.3203068544910957E-2</v>
      </c>
      <c r="H1851" s="1">
        <f t="shared" ref="H1851" si="1190">H1852</f>
        <v>1.077101006300183E-2</v>
      </c>
      <c r="I1851" s="1">
        <f t="shared" ref="I1851" si="1191">I1852</f>
        <v>1.0771578448129751E-2</v>
      </c>
      <c r="J1851" s="1">
        <f t="shared" ref="J1851" si="1192">J1852</f>
        <v>9.1648106419842616E-3</v>
      </c>
      <c r="K1851" s="1">
        <f t="shared" ref="K1851" si="1193">K1852</f>
        <v>9.2542201517054751E-3</v>
      </c>
    </row>
    <row r="1852" spans="2:11" x14ac:dyDescent="0.35">
      <c r="B1852" s="5" t="str">
        <f t="shared" si="1165"/>
        <v>SPS2</v>
      </c>
      <c r="C1852" s="5" t="str">
        <f t="shared" ref="C1852" si="1194">C1851</f>
        <v>CH</v>
      </c>
      <c r="D1852" t="s">
        <v>1894</v>
      </c>
      <c r="E1852" t="str">
        <f t="shared" si="1121"/>
        <v>GWth/yr.</v>
      </c>
      <c r="F1852" s="1" cm="1">
        <f t="array" ref="F1852">SUMPRODUCT(([1]OUT_FinalEnergyCons!$B$4:$B$10000="var_cap")*1, (ISNUMBER(SEARCH("RH*-WHPLTBR",[1]OUT_FinalEnergyCons!$A$4:$A$10000)))*1,[1]OUT_FinalEnergyCons!D$4:D$10000)</f>
        <v>1.12410901121583E-2</v>
      </c>
      <c r="G1852" s="1" cm="1">
        <f t="array" ref="G1852">SUMPRODUCT(([1]OUT_FinalEnergyCons!$B$4:$B$10000="var_cap")*1, (ISNUMBER(SEARCH("RH*-WHPLTBR",[1]OUT_FinalEnergyCons!$A$4:$A$10000)))*1,[1]OUT_FinalEnergyCons!E$4:E$10000)</f>
        <v>1.3203068544910957E-2</v>
      </c>
      <c r="H1852" s="1" cm="1">
        <f t="array" ref="H1852">SUMPRODUCT(([1]OUT_FinalEnergyCons!$B$4:$B$10000="var_cap")*1, (ISNUMBER(SEARCH("RH*-WHPLTBR",[1]OUT_FinalEnergyCons!$A$4:$A$10000)))*1,[1]OUT_FinalEnergyCons!F$4:F$10000)</f>
        <v>1.077101006300183E-2</v>
      </c>
      <c r="I1852" s="1" cm="1">
        <f t="array" ref="I1852">SUMPRODUCT(([1]OUT_FinalEnergyCons!$B$4:$B$10000="var_cap")*1, (ISNUMBER(SEARCH("RH*-WHPLTBR",[1]OUT_FinalEnergyCons!$A$4:$A$10000)))*1,[1]OUT_FinalEnergyCons!G$4:G$10000)</f>
        <v>1.0771578448129751E-2</v>
      </c>
      <c r="J1852" s="1" cm="1">
        <f t="array" ref="J1852">SUMPRODUCT(([1]OUT_FinalEnergyCons!$B$4:$B$10000="var_cap")*1, (ISNUMBER(SEARCH("RH*-WHPLTBR",[1]OUT_FinalEnergyCons!$A$4:$A$10000)))*1,[1]OUT_FinalEnergyCons!H$4:H$10000)</f>
        <v>9.1648106419842616E-3</v>
      </c>
      <c r="K1852" s="1" cm="1">
        <f t="array" ref="K1852">SUMPRODUCT(([1]OUT_FinalEnergyCons!$B$4:$B$10000="var_cap")*1, (ISNUMBER(SEARCH("RH*-WHPLTBR",[1]OUT_FinalEnergyCons!$A$4:$A$10000)))*1,[1]OUT_FinalEnergyCons!I$4:I$10000)</f>
        <v>9.2542201517054751E-3</v>
      </c>
    </row>
    <row r="1853" spans="2:11" x14ac:dyDescent="0.35">
      <c r="B1853" s="5" t="str">
        <f t="shared" si="1165"/>
        <v>SPS2</v>
      </c>
      <c r="C1853" s="5" t="str">
        <f t="shared" ref="C1853" si="1195">C1852</f>
        <v>CH</v>
      </c>
      <c r="D1853" t="s">
        <v>1895</v>
      </c>
      <c r="E1853" t="str">
        <f t="shared" si="1121"/>
        <v>GWth/yr.</v>
      </c>
      <c r="F1853" s="1">
        <f>F1854</f>
        <v>0.25000991745774798</v>
      </c>
      <c r="G1853" s="1">
        <f t="shared" ref="G1853" si="1196">G1854</f>
        <v>0.33218225481723457</v>
      </c>
      <c r="H1853" s="1">
        <f t="shared" ref="H1853" si="1197">H1854</f>
        <v>0.33217953677026096</v>
      </c>
      <c r="I1853" s="1">
        <f t="shared" ref="I1853" si="1198">I1854</f>
        <v>0.33218516517289576</v>
      </c>
      <c r="J1853" s="1">
        <f t="shared" ref="J1853" si="1199">J1854</f>
        <v>0.31435412920162131</v>
      </c>
      <c r="K1853" s="1">
        <f t="shared" ref="K1853" si="1200">K1854</f>
        <v>0.2663073288041094</v>
      </c>
    </row>
    <row r="1854" spans="2:11" x14ac:dyDescent="0.35">
      <c r="B1854" s="5" t="str">
        <f t="shared" si="1165"/>
        <v>SPS2</v>
      </c>
      <c r="C1854" s="5" t="str">
        <f t="shared" ref="C1854" si="1201">C1853</f>
        <v>CH</v>
      </c>
      <c r="D1854" t="s">
        <v>1896</v>
      </c>
      <c r="E1854" t="str">
        <f t="shared" si="1121"/>
        <v>GWth/yr.</v>
      </c>
      <c r="F1854" s="1" cm="1">
        <f t="array" ref="F1854">SUMPRODUCT(([1]OUT_FinalEnergyCons!$B$4:$B$10000="var_cap")*1, (ISNUMBER(SEARCH("RH*-WHSOLBR",[1]OUT_FinalEnergyCons!$A$4:$A$10000)))*1,[1]OUT_FinalEnergyCons!D$4:D$10000)</f>
        <v>0.25000991745774798</v>
      </c>
      <c r="G1854" s="1" cm="1">
        <f t="array" ref="G1854">SUMPRODUCT(([1]OUT_FinalEnergyCons!$B$4:$B$10000="var_cap")*1, (ISNUMBER(SEARCH("RH*-WHSOLBR",[1]OUT_FinalEnergyCons!$A$4:$A$10000)))*1,[1]OUT_FinalEnergyCons!E$4:E$10000)</f>
        <v>0.33218225481723457</v>
      </c>
      <c r="H1854" s="1" cm="1">
        <f t="array" ref="H1854">SUMPRODUCT(([1]OUT_FinalEnergyCons!$B$4:$B$10000="var_cap")*1, (ISNUMBER(SEARCH("RH*-WHSOLBR",[1]OUT_FinalEnergyCons!$A$4:$A$10000)))*1,[1]OUT_FinalEnergyCons!F$4:F$10000)</f>
        <v>0.33217953677026096</v>
      </c>
      <c r="I1854" s="1" cm="1">
        <f t="array" ref="I1854">SUMPRODUCT(([1]OUT_FinalEnergyCons!$B$4:$B$10000="var_cap")*1, (ISNUMBER(SEARCH("RH*-WHSOLBR",[1]OUT_FinalEnergyCons!$A$4:$A$10000)))*1,[1]OUT_FinalEnergyCons!G$4:G$10000)</f>
        <v>0.33218516517289576</v>
      </c>
      <c r="J1854" s="1" cm="1">
        <f t="array" ref="J1854">SUMPRODUCT(([1]OUT_FinalEnergyCons!$B$4:$B$10000="var_cap")*1, (ISNUMBER(SEARCH("RH*-WHSOLBR",[1]OUT_FinalEnergyCons!$A$4:$A$10000)))*1,[1]OUT_FinalEnergyCons!H$4:H$10000)</f>
        <v>0.31435412920162131</v>
      </c>
      <c r="K1854" s="1" cm="1">
        <f t="array" ref="K1854">SUMPRODUCT(([1]OUT_FinalEnergyCons!$B$4:$B$10000="var_cap")*1, (ISNUMBER(SEARCH("RH*-WHSOLBR",[1]OUT_FinalEnergyCons!$A$4:$A$10000)))*1,[1]OUT_FinalEnergyCons!I$4:I$10000)</f>
        <v>0.2663073288041094</v>
      </c>
    </row>
    <row r="1855" spans="2:11" x14ac:dyDescent="0.35">
      <c r="B1855" s="5" t="str">
        <f t="shared" si="1165"/>
        <v>SPS2</v>
      </c>
      <c r="C1855" s="5" t="str">
        <f t="shared" ref="C1855" si="1202">C1854</f>
        <v>CH</v>
      </c>
      <c r="D1855" t="s">
        <v>1897</v>
      </c>
      <c r="E1855" t="str">
        <f t="shared" si="1121"/>
        <v>GWth/yr.</v>
      </c>
      <c r="F1855" s="1">
        <f>F1856</f>
        <v>0</v>
      </c>
      <c r="G1855" s="1">
        <f t="shared" ref="G1855" si="1203">G1856</f>
        <v>0</v>
      </c>
      <c r="H1855" s="1">
        <f t="shared" ref="H1855" si="1204">H1856</f>
        <v>0</v>
      </c>
      <c r="I1855" s="1">
        <f t="shared" ref="I1855" si="1205">I1856</f>
        <v>0</v>
      </c>
      <c r="J1855" s="1">
        <f t="shared" ref="J1855" si="1206">J1856</f>
        <v>0</v>
      </c>
      <c r="K1855" s="1">
        <f t="shared" ref="K1855" si="1207">K1856</f>
        <v>0</v>
      </c>
    </row>
    <row r="1856" spans="2:11" x14ac:dyDescent="0.35">
      <c r="B1856" s="5" t="str">
        <f t="shared" si="1165"/>
        <v>SPS2</v>
      </c>
      <c r="C1856" s="5" t="str">
        <f t="shared" ref="C1856:C1860" si="1208">C1855</f>
        <v>CH</v>
      </c>
      <c r="D1856" t="s">
        <v>1898</v>
      </c>
      <c r="E1856" t="str">
        <f t="shared" si="1121"/>
        <v>GWth/yr.</v>
      </c>
      <c r="F1856" s="1" cm="1">
        <f t="array" ref="F1856">SUMPRODUCT(([1]OUT_FinalEnergyCons!$B$4:$B$10000="var_cap")*1, (ISNUMBER(SEARCH("RH*-WHH2BR",[1]OUT_FinalEnergyCons!$A$4:$A$10000)))*1,[1]OUT_FinalEnergyCons!D$4:D$10000)</f>
        <v>0</v>
      </c>
      <c r="G1856" s="1" cm="1">
        <f t="array" ref="G1856">SUMPRODUCT(([1]OUT_FinalEnergyCons!$B$4:$B$10000="var_cap")*1, (ISNUMBER(SEARCH("RH*-WHH2BR",[1]OUT_FinalEnergyCons!$A$4:$A$10000)))*1,[1]OUT_FinalEnergyCons!E$4:E$10000)</f>
        <v>0</v>
      </c>
      <c r="H1856" s="1" cm="1">
        <f t="array" ref="H1856">SUMPRODUCT(([1]OUT_FinalEnergyCons!$B$4:$B$10000="var_cap")*1, (ISNUMBER(SEARCH("RH*-WHH2BR",[1]OUT_FinalEnergyCons!$A$4:$A$10000)))*1,[1]OUT_FinalEnergyCons!F$4:F$10000)</f>
        <v>0</v>
      </c>
      <c r="I1856" s="1" cm="1">
        <f t="array" ref="I1856">SUMPRODUCT(([1]OUT_FinalEnergyCons!$B$4:$B$10000="var_cap")*1, (ISNUMBER(SEARCH("RH*-WHH2BR",[1]OUT_FinalEnergyCons!$A$4:$A$10000)))*1,[1]OUT_FinalEnergyCons!G$4:G$10000)</f>
        <v>0</v>
      </c>
      <c r="J1856" s="1" cm="1">
        <f t="array" ref="J1856">SUMPRODUCT(([1]OUT_FinalEnergyCons!$B$4:$B$10000="var_cap")*1, (ISNUMBER(SEARCH("RH*-WHH2BR",[1]OUT_FinalEnergyCons!$A$4:$A$10000)))*1,[1]OUT_FinalEnergyCons!H$4:H$10000)</f>
        <v>0</v>
      </c>
      <c r="K1856" s="1" cm="1">
        <f t="array" ref="K1856">SUMPRODUCT(([1]OUT_FinalEnergyCons!$B$4:$B$10000="var_cap")*1, (ISNUMBER(SEARCH("RH*-WHH2BR",[1]OUT_FinalEnergyCons!$A$4:$A$10000)))*1,[1]OUT_FinalEnergyCons!I$4:I$10000)</f>
        <v>0</v>
      </c>
    </row>
    <row r="1857" spans="2:11" x14ac:dyDescent="0.35">
      <c r="B1857" s="9" t="str">
        <f t="shared" si="1165"/>
        <v>SPS2</v>
      </c>
      <c r="C1857" s="9" t="str">
        <f t="shared" si="1208"/>
        <v>CH</v>
      </c>
      <c r="D1857" s="2" t="s">
        <v>1900</v>
      </c>
      <c r="E1857" s="9" t="str">
        <f t="shared" si="1121"/>
        <v>GWth/yr.</v>
      </c>
      <c r="F1857" s="17">
        <f>SUM(F1858,F1861,F1864,F1868,F1870,F1872,F1874,F1876,F1878)</f>
        <v>3.6023921146542754</v>
      </c>
      <c r="G1857" s="17">
        <f t="shared" ref="G1857:K1857" si="1209">SUM(G1858,G1861,G1864,G1868,G1870,G1872,G1874,G1876,G1878)</f>
        <v>3.7384555399218589</v>
      </c>
      <c r="H1857" s="17">
        <f t="shared" si="1209"/>
        <v>3.7507933259941897</v>
      </c>
      <c r="I1857" s="17">
        <f t="shared" si="1209"/>
        <v>4.1053218181057245</v>
      </c>
      <c r="J1857" s="17">
        <f t="shared" si="1209"/>
        <v>4.338437876575024</v>
      </c>
      <c r="K1857" s="17">
        <f t="shared" si="1209"/>
        <v>4.0263113521932627</v>
      </c>
    </row>
    <row r="1858" spans="2:11" x14ac:dyDescent="0.35">
      <c r="B1858" s="5" t="str">
        <f t="shared" si="1165"/>
        <v>SPS2</v>
      </c>
      <c r="C1858" s="5" t="str">
        <f t="shared" si="1208"/>
        <v>CH</v>
      </c>
      <c r="D1858" t="s">
        <v>2094</v>
      </c>
      <c r="E1858" t="str">
        <f t="shared" si="1121"/>
        <v>GWth/yr.</v>
      </c>
      <c r="F1858" s="18">
        <f>SUM(F1859:F1860)</f>
        <v>0.61671309762324311</v>
      </c>
      <c r="G1858" s="18">
        <f t="shared" ref="G1858:K1858" si="1210">SUM(G1859:G1860)</f>
        <v>0.79860164101199094</v>
      </c>
      <c r="H1858" s="18">
        <f t="shared" si="1210"/>
        <v>1.0577330384260031</v>
      </c>
      <c r="I1858" s="18">
        <f t="shared" si="1210"/>
        <v>1.4772953201521744</v>
      </c>
      <c r="J1858" s="18">
        <f t="shared" si="1210"/>
        <v>1.8327989400636606</v>
      </c>
      <c r="K1858" s="18">
        <f t="shared" si="1210"/>
        <v>1.6474947159157181</v>
      </c>
    </row>
    <row r="1859" spans="2:11" x14ac:dyDescent="0.35">
      <c r="B1859" s="5" t="str">
        <f t="shared" si="1165"/>
        <v>SPS2</v>
      </c>
      <c r="C1859" s="5" t="str">
        <f t="shared" si="1208"/>
        <v>CH</v>
      </c>
      <c r="D1859" t="s">
        <v>2095</v>
      </c>
      <c r="E1859" t="str">
        <f t="shared" si="1121"/>
        <v>GWth/yr.</v>
      </c>
      <c r="F1859" s="1" cm="1">
        <f t="array" ref="F1859">SUMPRODUCT(([1]OUT_FinalEnergyCons!$B$4:$B$10000="Var_cap")*1,  (ISNUMBER(SEARCH("ITOT-SWHELCBR",[1]OUT_FinalEnergyCons!$A$4:$A$10000)))*1,[1]OUT_FinalEnergyCons!D$4:D$10000)</f>
        <v>0.55644997413134401</v>
      </c>
      <c r="G1859" s="1" cm="1">
        <f t="array" ref="G1859">SUMPRODUCT(([1]OUT_FinalEnergyCons!$B$4:$B$10000="Var_cap")*1,  (ISNUMBER(SEARCH("ITOT-SWHELCBR",[1]OUT_FinalEnergyCons!$A$4:$A$10000)))*1,[1]OUT_FinalEnergyCons!E$4:E$10000)</f>
        <v>0.72196316767278179</v>
      </c>
      <c r="H1859" s="1" cm="1">
        <f t="array" ref="H1859">SUMPRODUCT(([1]OUT_FinalEnergyCons!$B$4:$B$10000="Var_cap")*1,  (ISNUMBER(SEARCH("ITOT-SWHELCBR",[1]OUT_FinalEnergyCons!$A$4:$A$10000)))*1,[1]OUT_FinalEnergyCons!F$4:F$10000)</f>
        <v>0.96553288220873301</v>
      </c>
      <c r="I1859" s="1" cm="1">
        <f t="array" ref="I1859">SUMPRODUCT(([1]OUT_FinalEnergyCons!$B$4:$B$10000="Var_cap")*1,  (ISNUMBER(SEARCH("ITOT-SWHELCBR",[1]OUT_FinalEnergyCons!$A$4:$A$10000)))*1,[1]OUT_FinalEnergyCons!G$4:G$10000)</f>
        <v>1.1557187865428842</v>
      </c>
      <c r="J1859" s="1" cm="1">
        <f t="array" ref="J1859">SUMPRODUCT(([1]OUT_FinalEnergyCons!$B$4:$B$10000="Var_cap")*1,  (ISNUMBER(SEARCH("ITOT-SWHELCBR",[1]OUT_FinalEnergyCons!$A$4:$A$10000)))*1,[1]OUT_FinalEnergyCons!H$4:H$10000)</f>
        <v>1.5084774307490794</v>
      </c>
      <c r="K1859" s="1" cm="1">
        <f t="array" ref="K1859">SUMPRODUCT(([1]OUT_FinalEnergyCons!$B$4:$B$10000="Var_cap")*1,  (ISNUMBER(SEARCH("ITOT-SWHELCBR",[1]OUT_FinalEnergyCons!$A$4:$A$10000)))*1,[1]OUT_FinalEnergyCons!I$4:I$10000)</f>
        <v>1.3239631697017544</v>
      </c>
    </row>
    <row r="1860" spans="2:11" x14ac:dyDescent="0.35">
      <c r="B1860" s="5" t="str">
        <f t="shared" si="1165"/>
        <v>SPS2</v>
      </c>
      <c r="C1860" s="5" t="str">
        <f t="shared" si="1208"/>
        <v>CH</v>
      </c>
      <c r="D1860" t="s">
        <v>2096</v>
      </c>
      <c r="E1860" t="str">
        <f t="shared" si="1121"/>
        <v>GWth/yr.</v>
      </c>
      <c r="F1860" s="1" cm="1">
        <f t="array" ref="F1860">SUMPRODUCT(([1]OUT_FinalEnergyCons!$B$4:$B$10000="Var_cap")*1,  (ISNUMBER(SEARCH("ITOT-SWHELCHP",[1]OUT_FinalEnergyCons!$A$4:$A$10000)))*1,[1]OUT_FinalEnergyCons!D$4:D$10000)</f>
        <v>6.02631234918991E-2</v>
      </c>
      <c r="G1860" s="1" cm="1">
        <f t="array" ref="G1860">SUMPRODUCT(([1]OUT_FinalEnergyCons!$B$4:$B$10000="Var_cap")*1,  (ISNUMBER(SEARCH("ITOT-SWHELCHP",[1]OUT_FinalEnergyCons!$A$4:$A$10000)))*1,[1]OUT_FinalEnergyCons!E$4:E$10000)</f>
        <v>7.6638473339209118E-2</v>
      </c>
      <c r="H1860" s="1" cm="1">
        <f t="array" ref="H1860">SUMPRODUCT(([1]OUT_FinalEnergyCons!$B$4:$B$10000="Var_cap")*1,  (ISNUMBER(SEARCH("ITOT-SWHELCHP",[1]OUT_FinalEnergyCons!$A$4:$A$10000)))*1,[1]OUT_FinalEnergyCons!F$4:F$10000)</f>
        <v>9.2200156217269957E-2</v>
      </c>
      <c r="I1860" s="1" cm="1">
        <f t="array" ref="I1860">SUMPRODUCT(([1]OUT_FinalEnergyCons!$B$4:$B$10000="Var_cap")*1,  (ISNUMBER(SEARCH("ITOT-SWHELCHP",[1]OUT_FinalEnergyCons!$A$4:$A$10000)))*1,[1]OUT_FinalEnergyCons!G$4:G$10000)</f>
        <v>0.32157653360929006</v>
      </c>
      <c r="J1860" s="1" cm="1">
        <f t="array" ref="J1860">SUMPRODUCT(([1]OUT_FinalEnergyCons!$B$4:$B$10000="Var_cap")*1,  (ISNUMBER(SEARCH("ITOT-SWHELCHP",[1]OUT_FinalEnergyCons!$A$4:$A$10000)))*1,[1]OUT_FinalEnergyCons!H$4:H$10000)</f>
        <v>0.32432150931458115</v>
      </c>
      <c r="K1860" s="1" cm="1">
        <f t="array" ref="K1860">SUMPRODUCT(([1]OUT_FinalEnergyCons!$B$4:$B$10000="Var_cap")*1,  (ISNUMBER(SEARCH("ITOT-SWHELCHP",[1]OUT_FinalEnergyCons!$A$4:$A$10000)))*1,[1]OUT_FinalEnergyCons!I$4:I$10000)</f>
        <v>0.32353154621396363</v>
      </c>
    </row>
    <row r="1861" spans="2:11" x14ac:dyDescent="0.35">
      <c r="B1861" s="5" t="str">
        <f t="shared" si="1165"/>
        <v>SPS2</v>
      </c>
      <c r="C1861" s="5" t="str">
        <f>C1860</f>
        <v>CH</v>
      </c>
      <c r="D1861" t="s">
        <v>2097</v>
      </c>
      <c r="E1861" t="str">
        <f t="shared" si="1121"/>
        <v>GWth/yr.</v>
      </c>
      <c r="F1861" s="18">
        <f>SUM(F1862:F1863)</f>
        <v>0.47931280870490595</v>
      </c>
      <c r="G1861" s="18">
        <f t="shared" ref="G1861:K1861" si="1211">SUM(G1862:G1863)</f>
        <v>0.48039861275512241</v>
      </c>
      <c r="H1861" s="18">
        <f t="shared" si="1211"/>
        <v>0.37791735199883919</v>
      </c>
      <c r="I1861" s="18">
        <f t="shared" si="1211"/>
        <v>0.31710136563660518</v>
      </c>
      <c r="J1861" s="18">
        <f t="shared" si="1211"/>
        <v>0.1835817055014955</v>
      </c>
      <c r="K1861" s="18">
        <f t="shared" si="1211"/>
        <v>2.0838471173573764E-2</v>
      </c>
    </row>
    <row r="1862" spans="2:11" x14ac:dyDescent="0.35">
      <c r="B1862" s="5" t="str">
        <f t="shared" si="1165"/>
        <v>SPS2</v>
      </c>
      <c r="C1862" s="5" t="str">
        <f t="shared" ref="C1862:C1879" si="1212">C1861</f>
        <v>CH</v>
      </c>
      <c r="D1862" t="s">
        <v>2098</v>
      </c>
      <c r="E1862" t="str">
        <f t="shared" si="1121"/>
        <v>GWth/yr.</v>
      </c>
      <c r="F1862" s="1" cm="1">
        <f t="array" ref="F1862">SUMPRODUCT(([1]OUT_FinalEnergyCons!$B$4:$B$10000="Var_cap")*1,  (ISNUMBER(SEARCH("ITOT-SWHLFOBR",[1]OUT_FinalEnergyCons!$A$4:$A$10000)))*1,[1]OUT_FinalEnergyCons!D$4:D$10000)</f>
        <v>0.37633543963083199</v>
      </c>
      <c r="G1862" s="1" cm="1">
        <f t="array" ref="G1862">SUMPRODUCT(([1]OUT_FinalEnergyCons!$B$4:$B$10000="Var_cap")*1,  (ISNUMBER(SEARCH("ITOT-SWHLFOBR",[1]OUT_FinalEnergyCons!$A$4:$A$10000)))*1,[1]OUT_FinalEnergyCons!E$4:E$10000)</f>
        <v>0.37752087603713064</v>
      </c>
      <c r="H1862" s="1" cm="1">
        <f t="array" ref="H1862">SUMPRODUCT(([1]OUT_FinalEnergyCons!$B$4:$B$10000="Var_cap")*1,  (ISNUMBER(SEARCH("ITOT-SWHLFOBR",[1]OUT_FinalEnergyCons!$A$4:$A$10000)))*1,[1]OUT_FinalEnergyCons!F$4:F$10000)</f>
        <v>0.37720750145280268</v>
      </c>
      <c r="I1862" s="1" cm="1">
        <f t="array" ref="I1862">SUMPRODUCT(([1]OUT_FinalEnergyCons!$B$4:$B$10000="Var_cap")*1,  (ISNUMBER(SEARCH("ITOT-SWHLFOBR",[1]OUT_FinalEnergyCons!$A$4:$A$10000)))*1,[1]OUT_FinalEnergyCons!G$4:G$10000)</f>
        <v>0.31705757962703396</v>
      </c>
      <c r="J1862" s="1" cm="1">
        <f t="array" ref="J1862">SUMPRODUCT(([1]OUT_FinalEnergyCons!$B$4:$B$10000="Var_cap")*1,  (ISNUMBER(SEARCH("ITOT-SWHLFOBR",[1]OUT_FinalEnergyCons!$A$4:$A$10000)))*1,[1]OUT_FinalEnergyCons!H$4:H$10000)</f>
        <v>0.18351564095010628</v>
      </c>
      <c r="K1862" s="1" cm="1">
        <f t="array" ref="K1862">SUMPRODUCT(([1]OUT_FinalEnergyCons!$B$4:$B$10000="Var_cap")*1,  (ISNUMBER(SEARCH("ITOT-SWHLFOBR",[1]OUT_FinalEnergyCons!$A$4:$A$10000)))*1,[1]OUT_FinalEnergyCons!I$4:I$10000)</f>
        <v>2.0847511998761597E-2</v>
      </c>
    </row>
    <row r="1863" spans="2:11" x14ac:dyDescent="0.35">
      <c r="B1863" s="5" t="str">
        <f t="shared" si="1165"/>
        <v>SPS2</v>
      </c>
      <c r="C1863" s="5" t="str">
        <f t="shared" si="1212"/>
        <v>CH</v>
      </c>
      <c r="D1863" t="s">
        <v>2099</v>
      </c>
      <c r="E1863" t="str">
        <f t="shared" si="1121"/>
        <v>GWth/yr.</v>
      </c>
      <c r="F1863" s="1" cm="1">
        <f t="array" ref="F1863">SUMPRODUCT(([1]OUT_FinalEnergyCons!$B$4:$B$10000="Var_cap")*1,  (ISNUMBER(SEARCH("ITOT-SWHHFOBR",[1]OUT_FinalEnergyCons!$A$4:$A$10000)))*1,[1]OUT_FinalEnergyCons!D$4:D$10000)</f>
        <v>0.10297736907407395</v>
      </c>
      <c r="G1863" s="1" cm="1">
        <f t="array" ref="G1863">SUMPRODUCT(([1]OUT_FinalEnergyCons!$B$4:$B$10000="Var_cap")*1,  (ISNUMBER(SEARCH("ITOT-SWHHFOBR",[1]OUT_FinalEnergyCons!$A$4:$A$10000)))*1,[1]OUT_FinalEnergyCons!E$4:E$10000)</f>
        <v>0.10287773671799179</v>
      </c>
      <c r="H1863" s="1" cm="1">
        <f t="array" ref="H1863">SUMPRODUCT(([1]OUT_FinalEnergyCons!$B$4:$B$10000="Var_cap")*1,  (ISNUMBER(SEARCH("ITOT-SWHHFOBR",[1]OUT_FinalEnergyCons!$A$4:$A$10000)))*1,[1]OUT_FinalEnergyCons!F$4:F$10000)</f>
        <v>7.0985054603650566E-4</v>
      </c>
      <c r="I1863" s="1" cm="1">
        <f t="array" ref="I1863">SUMPRODUCT(([1]OUT_FinalEnergyCons!$B$4:$B$10000="Var_cap")*1,  (ISNUMBER(SEARCH("ITOT-SWHHFOBR",[1]OUT_FinalEnergyCons!$A$4:$A$10000)))*1,[1]OUT_FinalEnergyCons!G$4:G$10000)</f>
        <v>4.3786009571222806E-5</v>
      </c>
      <c r="J1863" s="1" cm="1">
        <f t="array" ref="J1863">SUMPRODUCT(([1]OUT_FinalEnergyCons!$B$4:$B$10000="Var_cap")*1,  (ISNUMBER(SEARCH("ITOT-SWHHFOBR",[1]OUT_FinalEnergyCons!$A$4:$A$10000)))*1,[1]OUT_FinalEnergyCons!H$4:H$10000)</f>
        <v>6.6064551389202996E-5</v>
      </c>
      <c r="K1863" s="1" cm="1">
        <f t="array" ref="K1863">SUMPRODUCT(([1]OUT_FinalEnergyCons!$B$4:$B$10000="Var_cap")*1,  (ISNUMBER(SEARCH("ITOT-SWHHFOBR",[1]OUT_FinalEnergyCons!$A$4:$A$10000)))*1,[1]OUT_FinalEnergyCons!I$4:I$10000)</f>
        <v>-9.0408251878320006E-6</v>
      </c>
    </row>
    <row r="1864" spans="2:11" x14ac:dyDescent="0.35">
      <c r="B1864" s="5" t="str">
        <f t="shared" si="1165"/>
        <v>SPS2</v>
      </c>
      <c r="C1864" s="5" t="str">
        <f t="shared" si="1212"/>
        <v>CH</v>
      </c>
      <c r="D1864" t="s">
        <v>2100</v>
      </c>
      <c r="E1864" t="str">
        <f t="shared" si="1121"/>
        <v>GWth/yr.</v>
      </c>
      <c r="F1864" s="18">
        <f>SUM(F1865:F1866)</f>
        <v>1.556581895256</v>
      </c>
      <c r="G1864" s="18">
        <f t="shared" ref="G1864:K1864" si="1213">SUM(G1865:G1866)</f>
        <v>1.5397250997611081</v>
      </c>
      <c r="H1864" s="18">
        <f t="shared" si="1213"/>
        <v>1.4868065401728967</v>
      </c>
      <c r="I1864" s="18">
        <f t="shared" si="1213"/>
        <v>1.2227088655804321</v>
      </c>
      <c r="J1864" s="18">
        <f t="shared" si="1213"/>
        <v>0.22301810007100473</v>
      </c>
      <c r="K1864" s="18">
        <f t="shared" si="1213"/>
        <v>0.13632126820671417</v>
      </c>
    </row>
    <row r="1865" spans="2:11" x14ac:dyDescent="0.35">
      <c r="B1865" s="5" t="str">
        <f t="shared" si="1165"/>
        <v>SPS2</v>
      </c>
      <c r="C1865" s="5" t="str">
        <f t="shared" si="1212"/>
        <v>CH</v>
      </c>
      <c r="D1865" t="s">
        <v>2101</v>
      </c>
      <c r="E1865" t="str">
        <f t="shared" si="1121"/>
        <v>GWth/yr.</v>
      </c>
      <c r="F1865" s="1" cm="1">
        <f t="array" ref="F1865">SUMPRODUCT(([1]OUT_FinalEnergyCons!$B$4:$B$10000="Var_cap")*1,  (ISNUMBER(SEARCH("ITOT-SWHNGA*BR",[1]OUT_FinalEnergyCons!$A$4:$A$10000)))*1,[1]OUT_FinalEnergyCons!D$4:D$10000)</f>
        <v>1.556581895256</v>
      </c>
      <c r="G1865" s="1" cm="1">
        <f t="array" ref="G1865">SUMPRODUCT(([1]OUT_FinalEnergyCons!$B$4:$B$10000="Var_cap")*1,  (ISNUMBER(SEARCH("ITOT-SWHNGA*BR",[1]OUT_FinalEnergyCons!$A$4:$A$10000)))*1,[1]OUT_FinalEnergyCons!E$4:E$10000)</f>
        <v>1.5379994909221915</v>
      </c>
      <c r="H1865" s="1" cm="1">
        <f t="array" ref="H1865">SUMPRODUCT(([1]OUT_FinalEnergyCons!$B$4:$B$10000="Var_cap")*1,  (ISNUMBER(SEARCH("ITOT-SWHNGA*BR",[1]OUT_FinalEnergyCons!$A$4:$A$10000)))*1,[1]OUT_FinalEnergyCons!F$4:F$10000)</f>
        <v>1.4850762766845305</v>
      </c>
      <c r="I1865" s="1" cm="1">
        <f t="array" ref="I1865">SUMPRODUCT(([1]OUT_FinalEnergyCons!$B$4:$B$10000="Var_cap")*1,  (ISNUMBER(SEARCH("ITOT-SWHNGA*BR",[1]OUT_FinalEnergyCons!$A$4:$A$10000)))*1,[1]OUT_FinalEnergyCons!G$4:G$10000)</f>
        <v>1.221451443072344</v>
      </c>
      <c r="J1865" s="1" cm="1">
        <f t="array" ref="J1865">SUMPRODUCT(([1]OUT_FinalEnergyCons!$B$4:$B$10000="Var_cap")*1,  (ISNUMBER(SEARCH("ITOT-SWHNGA*BR",[1]OUT_FinalEnergyCons!$A$4:$A$10000)))*1,[1]OUT_FinalEnergyCons!H$4:H$10000)</f>
        <v>0.22176011783928293</v>
      </c>
      <c r="K1865" s="1" cm="1">
        <f t="array" ref="K1865">SUMPRODUCT(([1]OUT_FinalEnergyCons!$B$4:$B$10000="Var_cap")*1,  (ISNUMBER(SEARCH("ITOT-SWHNGA*BR",[1]OUT_FinalEnergyCons!$A$4:$A$10000)))*1,[1]OUT_FinalEnergyCons!I$4:I$10000)</f>
        <v>0.13511046683960481</v>
      </c>
    </row>
    <row r="1866" spans="2:11" x14ac:dyDescent="0.35">
      <c r="B1866" s="5" t="str">
        <f t="shared" si="1165"/>
        <v>SPS2</v>
      </c>
      <c r="C1866" s="5" t="str">
        <f t="shared" si="1212"/>
        <v>CH</v>
      </c>
      <c r="D1866" t="s">
        <v>2102</v>
      </c>
      <c r="E1866" t="str">
        <f t="shared" si="1121"/>
        <v>GWth/yr.</v>
      </c>
      <c r="F1866" s="1" cm="1">
        <f t="array" ref="F1866">SUMPRODUCT(([1]OUT_FinalEnergyCons!$B$4:$B$10000="Var_cap")*1,  (ISNUMBER(SEARCH("ITOT-SWHNGAHP",[1]OUT_FinalEnergyCons!$A$4:$A$10000)))*1,[1]OUT_FinalEnergyCons!D$4:D$10000)</f>
        <v>0</v>
      </c>
      <c r="G1866" s="1" cm="1">
        <f t="array" ref="G1866">SUMPRODUCT(([1]OUT_FinalEnergyCons!$B$4:$B$10000="Var_cap")*1,  (ISNUMBER(SEARCH("ITOT-SWHNGAHP",[1]OUT_FinalEnergyCons!$A$4:$A$10000)))*1,[1]OUT_FinalEnergyCons!E$4:E$10000)</f>
        <v>1.7256088389165499E-3</v>
      </c>
      <c r="H1866" s="1" cm="1">
        <f t="array" ref="H1866">SUMPRODUCT(([1]OUT_FinalEnergyCons!$B$4:$B$10000="Var_cap")*1,  (ISNUMBER(SEARCH("ITOT-SWHNGAHP",[1]OUT_FinalEnergyCons!$A$4:$A$10000)))*1,[1]OUT_FinalEnergyCons!F$4:F$10000)</f>
        <v>1.7302634883662551E-3</v>
      </c>
      <c r="I1866" s="1" cm="1">
        <f t="array" ref="I1866">SUMPRODUCT(([1]OUT_FinalEnergyCons!$B$4:$B$10000="Var_cap")*1,  (ISNUMBER(SEARCH("ITOT-SWHNGAHP",[1]OUT_FinalEnergyCons!$A$4:$A$10000)))*1,[1]OUT_FinalEnergyCons!G$4:G$10000)</f>
        <v>1.2574225080880859E-3</v>
      </c>
      <c r="J1866" s="1" cm="1">
        <f t="array" ref="J1866">SUMPRODUCT(([1]OUT_FinalEnergyCons!$B$4:$B$10000="Var_cap")*1,  (ISNUMBER(SEARCH("ITOT-SWHNGAHP",[1]OUT_FinalEnergyCons!$A$4:$A$10000)))*1,[1]OUT_FinalEnergyCons!H$4:H$10000)</f>
        <v>1.2579822317217979E-3</v>
      </c>
      <c r="K1866" s="1" cm="1">
        <f t="array" ref="K1866">SUMPRODUCT(([1]OUT_FinalEnergyCons!$B$4:$B$10000="Var_cap")*1,  (ISNUMBER(SEARCH("ITOT-SWHNGAHP",[1]OUT_FinalEnergyCons!$A$4:$A$10000)))*1,[1]OUT_FinalEnergyCons!I$4:I$10000)</f>
        <v>1.2108013671093478E-3</v>
      </c>
    </row>
    <row r="1867" spans="2:11" x14ac:dyDescent="0.35">
      <c r="B1867" s="5" t="str">
        <f t="shared" si="1165"/>
        <v>SPS2</v>
      </c>
      <c r="C1867" s="5" t="str">
        <f t="shared" si="1212"/>
        <v>CH</v>
      </c>
      <c r="D1867" t="s">
        <v>2103</v>
      </c>
      <c r="E1867" t="str">
        <f t="shared" si="1121"/>
        <v>GWth/yr.</v>
      </c>
      <c r="F1867" s="1" cm="1">
        <f t="array" ref="F1867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67" s="1" cm="1">
        <f t="array" ref="G1867">SUMPRODUCT(([1]OUT_FinalEnergyCons!$B$4:$B$10000="Var_cap")*1,  (("ITOT-SWHBIOBR"=[1]OUT_FinalEnergyCons!$A$4:$A$10000)*1+("ITOT-SWHBNGABR"=[1]OUT_FinalEnergyCons!$A$4:$A$10000))*1,[1]OUT_FinalEnergyCons!E$4:E$10000)</f>
        <v>3.2737297937688994E-2</v>
      </c>
      <c r="H1867" s="1" cm="1">
        <f t="array" ref="H1867">SUMPRODUCT(([1]OUT_FinalEnergyCons!$B$4:$B$10000="Var_cap")*1,  (("ITOT-SWHBIOBR"=[1]OUT_FinalEnergyCons!$A$4:$A$10000)*1+("ITOT-SWHBNGABR"=[1]OUT_FinalEnergyCons!$A$4:$A$10000))*1,[1]OUT_FinalEnergyCons!F$4:F$10000)</f>
        <v>6.6214422345733978E-2</v>
      </c>
      <c r="I1867" s="1" cm="1">
        <f t="array" ref="I1867">SUMPRODUCT(([1]OUT_FinalEnergyCons!$B$4:$B$10000="Var_cap")*1,  (("ITOT-SWHBIOBR"=[1]OUT_FinalEnergyCons!$A$4:$A$10000)*1+("ITOT-SWHBNGABR"=[1]OUT_FinalEnergyCons!$A$4:$A$10000))*1,[1]OUT_FinalEnergyCons!G$4:G$10000)</f>
        <v>0.11690229950078161</v>
      </c>
      <c r="J1867" s="1" cm="1">
        <f t="array" ref="J1867">SUMPRODUCT(([1]OUT_FinalEnergyCons!$B$4:$B$10000="Var_cap")*1,  (("ITOT-SWHBIOBR"=[1]OUT_FinalEnergyCons!$A$4:$A$10000)*1+("ITOT-SWHBNGABR"=[1]OUT_FinalEnergyCons!$A$4:$A$10000))*1,[1]OUT_FinalEnergyCons!H$4:H$10000)</f>
        <v>0.10785911819914226</v>
      </c>
      <c r="K1867" s="1" cm="1">
        <f t="array" ref="K1867">SUMPRODUCT(([1]OUT_FinalEnergyCons!$B$4:$B$10000="Var_cap")*1,  (("ITOT-SWHBIOBR"=[1]OUT_FinalEnergyCons!$A$4:$A$10000)*1+("ITOT-SWHBNGABR"=[1]OUT_FinalEnergyCons!$A$4:$A$10000))*1,[1]OUT_FinalEnergyCons!I$4:I$10000)</f>
        <v>0.15609342311934138</v>
      </c>
    </row>
    <row r="1868" spans="2:11" x14ac:dyDescent="0.35">
      <c r="B1868" s="5" t="str">
        <f t="shared" si="1165"/>
        <v>SPS2</v>
      </c>
      <c r="C1868" s="5" t="str">
        <f t="shared" si="1212"/>
        <v>CH</v>
      </c>
      <c r="D1868" t="s">
        <v>2104</v>
      </c>
      <c r="E1868" t="str">
        <f t="shared" si="1121"/>
        <v>GWth/yr.</v>
      </c>
      <c r="F1868" s="1">
        <f>F1869</f>
        <v>0.26172155007150499</v>
      </c>
      <c r="G1868" s="1">
        <f t="shared" ref="G1868:K1868" si="1214">G1869</f>
        <v>0.17655029354304103</v>
      </c>
      <c r="H1868" s="1">
        <f t="shared" si="1214"/>
        <v>0.16513603903633914</v>
      </c>
      <c r="I1868" s="1">
        <f t="shared" si="1214"/>
        <v>4.1554661699472195E-5</v>
      </c>
      <c r="J1868" s="1">
        <f t="shared" si="1214"/>
        <v>6.3978246097309011E-5</v>
      </c>
      <c r="K1868" s="1">
        <f t="shared" si="1214"/>
        <v>1.8066555926699978E-6</v>
      </c>
    </row>
    <row r="1869" spans="2:11" x14ac:dyDescent="0.35">
      <c r="B1869" s="5" t="str">
        <f t="shared" si="1165"/>
        <v>SPS2</v>
      </c>
      <c r="C1869" s="5" t="str">
        <f t="shared" si="1212"/>
        <v>CH</v>
      </c>
      <c r="D1869" t="s">
        <v>2105</v>
      </c>
      <c r="E1869" t="str">
        <f t="shared" si="1121"/>
        <v>GWth/yr.</v>
      </c>
      <c r="F1869" s="1" cm="1">
        <f t="array" ref="F1869">SUMPRODUCT(([1]OUT_FinalEnergyCons!$B$4:$B$10000="Var_cap")*1,  (ISNUMBER(SEARCH("ITOT-SWHCOA*BR",[1]OUT_FinalEnergyCons!$A$4:$A$10000)))*1,[1]OUT_FinalEnergyCons!D$4:D$10000)</f>
        <v>0.26172155007150499</v>
      </c>
      <c r="G1869" s="1" cm="1">
        <f t="array" ref="G1869">SUMPRODUCT(([1]OUT_FinalEnergyCons!$B$4:$B$10000="Var_cap")*1,  (ISNUMBER(SEARCH("ITOT-SWHCOA*BR",[1]OUT_FinalEnergyCons!$A$4:$A$10000)))*1,[1]OUT_FinalEnergyCons!E$4:E$10000)</f>
        <v>0.17655029354304103</v>
      </c>
      <c r="H1869" s="1" cm="1">
        <f t="array" ref="H1869">SUMPRODUCT(([1]OUT_FinalEnergyCons!$B$4:$B$10000="Var_cap")*1,  (ISNUMBER(SEARCH("ITOT-SWHCOA*BR",[1]OUT_FinalEnergyCons!$A$4:$A$10000)))*1,[1]OUT_FinalEnergyCons!F$4:F$10000)</f>
        <v>0.16513603903633914</v>
      </c>
      <c r="I1869" s="1" cm="1">
        <f t="array" ref="I1869">SUMPRODUCT(([1]OUT_FinalEnergyCons!$B$4:$B$10000="Var_cap")*1,  (ISNUMBER(SEARCH("ITOT-SWHCOA*BR",[1]OUT_FinalEnergyCons!$A$4:$A$10000)))*1,[1]OUT_FinalEnergyCons!G$4:G$10000)</f>
        <v>4.1554661699472195E-5</v>
      </c>
      <c r="J1869" s="1" cm="1">
        <f t="array" ref="J1869">SUMPRODUCT(([1]OUT_FinalEnergyCons!$B$4:$B$10000="Var_cap")*1,  (ISNUMBER(SEARCH("ITOT-SWHCOA*BR",[1]OUT_FinalEnergyCons!$A$4:$A$10000)))*1,[1]OUT_FinalEnergyCons!H$4:H$10000)</f>
        <v>6.3978246097309011E-5</v>
      </c>
      <c r="K1869" s="1" cm="1">
        <f t="array" ref="K1869">SUMPRODUCT(([1]OUT_FinalEnergyCons!$B$4:$B$10000="Var_cap")*1,  (ISNUMBER(SEARCH("ITOT-SWHCOA*BR",[1]OUT_FinalEnergyCons!$A$4:$A$10000)))*1,[1]OUT_FinalEnergyCons!I$4:I$10000)</f>
        <v>1.8066555926699978E-6</v>
      </c>
    </row>
    <row r="1870" spans="2:11" x14ac:dyDescent="0.35">
      <c r="B1870" s="5" t="str">
        <f t="shared" si="1165"/>
        <v>SPS2</v>
      </c>
      <c r="C1870" s="5" t="str">
        <f t="shared" si="1212"/>
        <v>CH</v>
      </c>
      <c r="D1870" t="s">
        <v>2106</v>
      </c>
      <c r="E1870" t="str">
        <f t="shared" si="1121"/>
        <v>GWth/yr.</v>
      </c>
      <c r="F1870" s="1">
        <f>F1871</f>
        <v>0.28883369534761499</v>
      </c>
      <c r="G1870" s="1">
        <f t="shared" ref="G1870:K1870" si="1215">G1871</f>
        <v>0.34193782642031506</v>
      </c>
      <c r="H1870" s="1">
        <f t="shared" si="1215"/>
        <v>0.34179490904564802</v>
      </c>
      <c r="I1870" s="1">
        <f t="shared" si="1215"/>
        <v>0.42261562750342674</v>
      </c>
      <c r="J1870" s="1">
        <f t="shared" si="1215"/>
        <v>0.43771913710584587</v>
      </c>
      <c r="K1870" s="1">
        <f t="shared" si="1215"/>
        <v>0.40506188424303102</v>
      </c>
    </row>
    <row r="1871" spans="2:11" x14ac:dyDescent="0.35">
      <c r="B1871" s="5" t="str">
        <f t="shared" si="1165"/>
        <v>SPS2</v>
      </c>
      <c r="C1871" s="5" t="str">
        <f t="shared" si="1212"/>
        <v>CH</v>
      </c>
      <c r="D1871" t="s">
        <v>2107</v>
      </c>
      <c r="E1871" t="str">
        <f t="shared" si="1121"/>
        <v>GWth/yr.</v>
      </c>
      <c r="F1871" s="1" cm="1">
        <f t="array" ref="F1871">SUMPRODUCT(([1]OUT_FinalEnergyCons!$B$4:$B$10000="Var_cap")*1,  (ISNUMBER(SEARCH("ITOT-SWHWOD*BR",[1]OUT_FinalEnergyCons!$A$4:$A$10000)))*1,[1]OUT_FinalEnergyCons!D$4:D$10000)</f>
        <v>0.28883369534761499</v>
      </c>
      <c r="G1871" s="1" cm="1">
        <f t="array" ref="G1871">SUMPRODUCT(([1]OUT_FinalEnergyCons!$B$4:$B$10000="Var_cap")*1,  (ISNUMBER(SEARCH("ITOT-SWHWOD*BR",[1]OUT_FinalEnergyCons!$A$4:$A$10000)))*1,[1]OUT_FinalEnergyCons!E$4:E$10000)</f>
        <v>0.34193782642031506</v>
      </c>
      <c r="H1871" s="1" cm="1">
        <f t="array" ref="H1871">SUMPRODUCT(([1]OUT_FinalEnergyCons!$B$4:$B$10000="Var_cap")*1,  (ISNUMBER(SEARCH("ITOT-SWHWOD*BR",[1]OUT_FinalEnergyCons!$A$4:$A$10000)))*1,[1]OUT_FinalEnergyCons!F$4:F$10000)</f>
        <v>0.34179490904564802</v>
      </c>
      <c r="I1871" s="1" cm="1">
        <f t="array" ref="I1871">SUMPRODUCT(([1]OUT_FinalEnergyCons!$B$4:$B$10000="Var_cap")*1,  (ISNUMBER(SEARCH("ITOT-SWHWOD*BR",[1]OUT_FinalEnergyCons!$A$4:$A$10000)))*1,[1]OUT_FinalEnergyCons!G$4:G$10000)</f>
        <v>0.42261562750342674</v>
      </c>
      <c r="J1871" s="1" cm="1">
        <f t="array" ref="J1871">SUMPRODUCT(([1]OUT_FinalEnergyCons!$B$4:$B$10000="Var_cap")*1,  (ISNUMBER(SEARCH("ITOT-SWHWOD*BR",[1]OUT_FinalEnergyCons!$A$4:$A$10000)))*1,[1]OUT_FinalEnergyCons!H$4:H$10000)</f>
        <v>0.43771913710584587</v>
      </c>
      <c r="K1871" s="1" cm="1">
        <f t="array" ref="K1871">SUMPRODUCT(([1]OUT_FinalEnergyCons!$B$4:$B$10000="Var_cap")*1,  (ISNUMBER(SEARCH("ITOT-SWHWOD*BR",[1]OUT_FinalEnergyCons!$A$4:$A$10000)))*1,[1]OUT_FinalEnergyCons!I$4:I$10000)</f>
        <v>0.40506188424303102</v>
      </c>
    </row>
    <row r="1872" spans="2:11" x14ac:dyDescent="0.35">
      <c r="B1872" s="5" t="str">
        <f t="shared" si="1165"/>
        <v>SPS2</v>
      </c>
      <c r="C1872" s="5" t="str">
        <f t="shared" si="1212"/>
        <v>CH</v>
      </c>
      <c r="D1872" t="s">
        <v>2108</v>
      </c>
      <c r="E1872" t="str">
        <f t="shared" si="1121"/>
        <v>GWth/yr.</v>
      </c>
      <c r="F1872" s="1">
        <f>F1873</f>
        <v>2.9860759506449799E-2</v>
      </c>
      <c r="G1872" s="1">
        <f t="shared" ref="G1872:K1872" si="1216">G1873</f>
        <v>3.8200311814134441E-2</v>
      </c>
      <c r="H1872" s="1">
        <f t="shared" si="1216"/>
        <v>3.823394499567332E-2</v>
      </c>
      <c r="I1872" s="1">
        <f t="shared" si="1216"/>
        <v>3.8224211017757352E-2</v>
      </c>
      <c r="J1872" s="1">
        <f t="shared" si="1216"/>
        <v>4.2506351981758658E-2</v>
      </c>
      <c r="K1872" s="1">
        <f t="shared" si="1216"/>
        <v>4.2987659309887606E-2</v>
      </c>
    </row>
    <row r="1873" spans="2:11" x14ac:dyDescent="0.35">
      <c r="B1873" s="5" t="str">
        <f t="shared" si="1165"/>
        <v>SPS2</v>
      </c>
      <c r="C1873" s="5" t="str">
        <f t="shared" si="1212"/>
        <v>CH</v>
      </c>
      <c r="D1873" t="s">
        <v>2109</v>
      </c>
      <c r="E1873" t="str">
        <f t="shared" si="1121"/>
        <v>GWth/yr.</v>
      </c>
      <c r="F1873" s="1" cm="1">
        <f t="array" ref="F1873">SUMPRODUCT(([1]OUT_FinalEnergyCons!$B$4:$B$10000="Var_cap")*1,  (ISNUMBER(SEARCH("ITOT-SWHPLT*BR",[1]OUT_FinalEnergyCons!$A$4:$A$10000)))*1,[1]OUT_FinalEnergyCons!D$4:D$10000)</f>
        <v>2.9860759506449799E-2</v>
      </c>
      <c r="G1873" s="1" cm="1">
        <f t="array" ref="G1873">SUMPRODUCT(([1]OUT_FinalEnergyCons!$B$4:$B$10000="Var_cap")*1,  (ISNUMBER(SEARCH("ITOT-SWHPLT*BR",[1]OUT_FinalEnergyCons!$A$4:$A$10000)))*1,[1]OUT_FinalEnergyCons!E$4:E$10000)</f>
        <v>3.8200311814134441E-2</v>
      </c>
      <c r="H1873" s="1" cm="1">
        <f t="array" ref="H1873">SUMPRODUCT(([1]OUT_FinalEnergyCons!$B$4:$B$10000="Var_cap")*1,  (ISNUMBER(SEARCH("ITOT-SWHPLT*BR",[1]OUT_FinalEnergyCons!$A$4:$A$10000)))*1,[1]OUT_FinalEnergyCons!F$4:F$10000)</f>
        <v>3.823394499567332E-2</v>
      </c>
      <c r="I1873" s="1" cm="1">
        <f t="array" ref="I1873">SUMPRODUCT(([1]OUT_FinalEnergyCons!$B$4:$B$10000="Var_cap")*1,  (ISNUMBER(SEARCH("ITOT-SWHPLT*BR",[1]OUT_FinalEnergyCons!$A$4:$A$10000)))*1,[1]OUT_FinalEnergyCons!G$4:G$10000)</f>
        <v>3.8224211017757352E-2</v>
      </c>
      <c r="J1873" s="1" cm="1">
        <f t="array" ref="J1873">SUMPRODUCT(([1]OUT_FinalEnergyCons!$B$4:$B$10000="Var_cap")*1,  (ISNUMBER(SEARCH("ITOT-SWHPLT*BR",[1]OUT_FinalEnergyCons!$A$4:$A$10000)))*1,[1]OUT_FinalEnergyCons!H$4:H$10000)</f>
        <v>4.2506351981758658E-2</v>
      </c>
      <c r="K1873" s="1" cm="1">
        <f t="array" ref="K1873">SUMPRODUCT(([1]OUT_FinalEnergyCons!$B$4:$B$10000="Var_cap")*1,  (ISNUMBER(SEARCH("ITOT-SWHPLT*BR",[1]OUT_FinalEnergyCons!$A$4:$A$10000)))*1,[1]OUT_FinalEnergyCons!I$4:I$10000)</f>
        <v>4.2987659309887606E-2</v>
      </c>
    </row>
    <row r="1874" spans="2:11" x14ac:dyDescent="0.35">
      <c r="B1874" s="5" t="str">
        <f t="shared" si="1165"/>
        <v>SPS2</v>
      </c>
      <c r="C1874" s="5" t="str">
        <f t="shared" si="1212"/>
        <v>CH</v>
      </c>
      <c r="D1874" t="s">
        <v>2110</v>
      </c>
      <c r="E1874" t="str">
        <f t="shared" si="1121"/>
        <v>GWth/yr.</v>
      </c>
      <c r="F1874" s="1">
        <f>F1875</f>
        <v>0.35954682816669398</v>
      </c>
      <c r="G1874" s="1">
        <f t="shared" ref="G1874:K1874" si="1217">G1875</f>
        <v>0.29857167578331745</v>
      </c>
      <c r="H1874" s="1">
        <f t="shared" si="1217"/>
        <v>0.21870095175853413</v>
      </c>
      <c r="I1874" s="1">
        <f t="shared" si="1217"/>
        <v>0.28887831520281398</v>
      </c>
      <c r="J1874" s="1">
        <f t="shared" si="1217"/>
        <v>0.2169483715190994</v>
      </c>
      <c r="K1874" s="1">
        <f t="shared" si="1217"/>
        <v>1.3663181198109164E-5</v>
      </c>
    </row>
    <row r="1875" spans="2:11" x14ac:dyDescent="0.35">
      <c r="B1875" s="5" t="str">
        <f t="shared" si="1165"/>
        <v>SPS2</v>
      </c>
      <c r="C1875" s="5" t="str">
        <f t="shared" si="1212"/>
        <v>CH</v>
      </c>
      <c r="D1875" t="s">
        <v>2111</v>
      </c>
      <c r="E1875" t="str">
        <f t="shared" si="1121"/>
        <v>GWth/yr.</v>
      </c>
      <c r="F1875" s="1" cm="1">
        <f t="array" ref="F1875">SUMPRODUCT(([1]OUT_FinalEnergyCons!$B$4:$B$10000="Var_cap")*1,  (ISNUMBER(SEARCH("ITOT-SWHWST*BR",[1]OUT_FinalEnergyCons!$A$4:$A$10000)))*1,[1]OUT_FinalEnergyCons!D$4:D$10000)</f>
        <v>0.35954682816669398</v>
      </c>
      <c r="G1875" s="1" cm="1">
        <f t="array" ref="G1875">SUMPRODUCT(([1]OUT_FinalEnergyCons!$B$4:$B$10000="Var_cap")*1,  (ISNUMBER(SEARCH("ITOT-SWHWST*BR",[1]OUT_FinalEnergyCons!$A$4:$A$10000)))*1,[1]OUT_FinalEnergyCons!E$4:E$10000)</f>
        <v>0.29857167578331745</v>
      </c>
      <c r="H1875" s="1" cm="1">
        <f t="array" ref="H1875">SUMPRODUCT(([1]OUT_FinalEnergyCons!$B$4:$B$10000="Var_cap")*1,  (ISNUMBER(SEARCH("ITOT-SWHWST*BR",[1]OUT_FinalEnergyCons!$A$4:$A$10000)))*1,[1]OUT_FinalEnergyCons!F$4:F$10000)</f>
        <v>0.21870095175853413</v>
      </c>
      <c r="I1875" s="1" cm="1">
        <f t="array" ref="I1875">SUMPRODUCT(([1]OUT_FinalEnergyCons!$B$4:$B$10000="Var_cap")*1,  (ISNUMBER(SEARCH("ITOT-SWHWST*BR",[1]OUT_FinalEnergyCons!$A$4:$A$10000)))*1,[1]OUT_FinalEnergyCons!G$4:G$10000)</f>
        <v>0.28887831520281398</v>
      </c>
      <c r="J1875" s="1" cm="1">
        <f t="array" ref="J1875">SUMPRODUCT(([1]OUT_FinalEnergyCons!$B$4:$B$10000="Var_cap")*1,  (ISNUMBER(SEARCH("ITOT-SWHWST*BR",[1]OUT_FinalEnergyCons!$A$4:$A$10000)))*1,[1]OUT_FinalEnergyCons!H$4:H$10000)</f>
        <v>0.2169483715190994</v>
      </c>
      <c r="K1875" s="1" cm="1">
        <f t="array" ref="K1875">SUMPRODUCT(([1]OUT_FinalEnergyCons!$B$4:$B$10000="Var_cap")*1,  (ISNUMBER(SEARCH("ITOT-SWHWST*BR",[1]OUT_FinalEnergyCons!$A$4:$A$10000)))*1,[1]OUT_FinalEnergyCons!I$4:I$10000)</f>
        <v>1.3663181198109164E-5</v>
      </c>
    </row>
    <row r="1876" spans="2:11" x14ac:dyDescent="0.35">
      <c r="B1876" s="5" t="str">
        <f t="shared" si="1165"/>
        <v>SPS2</v>
      </c>
      <c r="C1876" s="5" t="str">
        <f t="shared" si="1212"/>
        <v>CH</v>
      </c>
      <c r="D1876" t="s">
        <v>2112</v>
      </c>
      <c r="E1876" t="str">
        <f t="shared" si="1121"/>
        <v>GWth/yr.</v>
      </c>
      <c r="F1876" s="1">
        <f>F1877</f>
        <v>9.8214799778629808E-3</v>
      </c>
      <c r="G1876" s="1">
        <f t="shared" ref="G1876:K1876" si="1218">G1877</f>
        <v>6.4470078832829583E-2</v>
      </c>
      <c r="H1876" s="1">
        <f t="shared" si="1218"/>
        <v>6.4470550560256384E-2</v>
      </c>
      <c r="I1876" s="1">
        <f t="shared" si="1218"/>
        <v>0.33845655835081501</v>
      </c>
      <c r="J1876" s="1">
        <f t="shared" si="1218"/>
        <v>0.33846075048652202</v>
      </c>
      <c r="K1876" s="1">
        <f t="shared" si="1218"/>
        <v>0.33845932179118599</v>
      </c>
    </row>
    <row r="1877" spans="2:11" x14ac:dyDescent="0.35">
      <c r="B1877" s="5" t="str">
        <f t="shared" si="1165"/>
        <v>SPS2</v>
      </c>
      <c r="C1877" s="5" t="str">
        <f t="shared" si="1212"/>
        <v>CH</v>
      </c>
      <c r="D1877" t="s">
        <v>2113</v>
      </c>
      <c r="E1877" t="str">
        <f t="shared" si="1121"/>
        <v>GWth/yr.</v>
      </c>
      <c r="F1877" s="1" cm="1">
        <f t="array" ref="F1877">SUMPRODUCT(([1]OUT_FinalEnergyCons!$B$4:$B$10000="Var_cap")*1, (ISNUMBER(SEARCH("ITOT-SWHSOLBR",[1]OUT_FinalEnergyCons!$A$4:$A$10000)))*1,[1]OUT_FinalEnergyCons!D$4:D$10000)</f>
        <v>9.8214799778629808E-3</v>
      </c>
      <c r="G1877" s="1" cm="1">
        <f t="array" ref="G1877">SUMPRODUCT(([1]OUT_FinalEnergyCons!$B$4:$B$10000="Var_cap")*1, (ISNUMBER(SEARCH("ITOT-SWHSOLBR",[1]OUT_FinalEnergyCons!$A$4:$A$10000)))*1,[1]OUT_FinalEnergyCons!E$4:E$10000)</f>
        <v>6.4470078832829583E-2</v>
      </c>
      <c r="H1877" s="1" cm="1">
        <f t="array" ref="H1877">SUMPRODUCT(([1]OUT_FinalEnergyCons!$B$4:$B$10000="Var_cap")*1, (ISNUMBER(SEARCH("ITOT-SWHSOLBR",[1]OUT_FinalEnergyCons!$A$4:$A$10000)))*1,[1]OUT_FinalEnergyCons!F$4:F$10000)</f>
        <v>6.4470550560256384E-2</v>
      </c>
      <c r="I1877" s="1" cm="1">
        <f t="array" ref="I1877">SUMPRODUCT(([1]OUT_FinalEnergyCons!$B$4:$B$10000="Var_cap")*1, (ISNUMBER(SEARCH("ITOT-SWHSOLBR",[1]OUT_FinalEnergyCons!$A$4:$A$10000)))*1,[1]OUT_FinalEnergyCons!G$4:G$10000)</f>
        <v>0.33845655835081501</v>
      </c>
      <c r="J1877" s="1" cm="1">
        <f t="array" ref="J1877">SUMPRODUCT(([1]OUT_FinalEnergyCons!$B$4:$B$10000="Var_cap")*1, (ISNUMBER(SEARCH("ITOT-SWHSOLBR",[1]OUT_FinalEnergyCons!$A$4:$A$10000)))*1,[1]OUT_FinalEnergyCons!H$4:H$10000)</f>
        <v>0.33846075048652202</v>
      </c>
      <c r="K1877" s="1" cm="1">
        <f t="array" ref="K1877">SUMPRODUCT(([1]OUT_FinalEnergyCons!$B$4:$B$10000="Var_cap")*1, (ISNUMBER(SEARCH("ITOT-SWHSOLBR",[1]OUT_FinalEnergyCons!$A$4:$A$10000)))*1,[1]OUT_FinalEnergyCons!I$4:I$10000)</f>
        <v>0.33845932179118599</v>
      </c>
    </row>
    <row r="1878" spans="2:11" x14ac:dyDescent="0.35">
      <c r="B1878" s="5" t="str">
        <f t="shared" si="1165"/>
        <v>SPS2</v>
      </c>
      <c r="C1878" s="5" t="str">
        <f t="shared" si="1212"/>
        <v>CH</v>
      </c>
      <c r="D1878" t="s">
        <v>2114</v>
      </c>
      <c r="E1878" t="str">
        <f t="shared" si="1121"/>
        <v>GWth/yr.</v>
      </c>
      <c r="F1878" s="1">
        <f>F1879</f>
        <v>0</v>
      </c>
      <c r="G1878" s="1">
        <f t="shared" ref="G1878:K1878" si="1219">G1879</f>
        <v>0</v>
      </c>
      <c r="H1878" s="1">
        <f t="shared" si="1219"/>
        <v>0</v>
      </c>
      <c r="I1878" s="1">
        <f t="shared" si="1219"/>
        <v>0</v>
      </c>
      <c r="J1878" s="1">
        <f t="shared" si="1219"/>
        <v>1.0633405415995394</v>
      </c>
      <c r="K1878" s="1">
        <f t="shared" si="1219"/>
        <v>1.4351325617163611</v>
      </c>
    </row>
    <row r="1879" spans="2:11" x14ac:dyDescent="0.35">
      <c r="B1879" s="5" t="str">
        <f t="shared" si="1165"/>
        <v>SPS2</v>
      </c>
      <c r="C1879" s="5" t="str">
        <f t="shared" si="1212"/>
        <v>CH</v>
      </c>
      <c r="D1879" t="s">
        <v>2115</v>
      </c>
      <c r="E1879" t="str">
        <f t="shared" si="1121"/>
        <v>GWth/yr.</v>
      </c>
      <c r="F1879" s="1" cm="1">
        <f t="array" ref="F1879">SUMPRODUCT(([1]OUT_FinalEnergyCons!$B$4:$B$10000="Var_cap")*1, (ISNUMBER(SEARCH("ITOT-SWHH2BR",[1]OUT_FinalEnergyCons!$A$4:$A$10000)))*1,[1]OUT_FinalEnergyCons!D$4:D$10000)</f>
        <v>0</v>
      </c>
      <c r="G1879" s="1" cm="1">
        <f t="array" ref="G1879">SUMPRODUCT(([1]OUT_FinalEnergyCons!$B$4:$B$10000="Var_cap")*1, (ISNUMBER(SEARCH("ITOT-SWHH2BR",[1]OUT_FinalEnergyCons!$A$4:$A$10000)))*1,[1]OUT_FinalEnergyCons!E$4:E$10000)</f>
        <v>0</v>
      </c>
      <c r="H1879" s="1" cm="1">
        <f t="array" ref="H1879">SUMPRODUCT(([1]OUT_FinalEnergyCons!$B$4:$B$10000="Var_cap")*1, (ISNUMBER(SEARCH("ITOT-SWHH2BR",[1]OUT_FinalEnergyCons!$A$4:$A$10000)))*1,[1]OUT_FinalEnergyCons!F$4:F$10000)</f>
        <v>0</v>
      </c>
      <c r="I1879" s="1" cm="1">
        <f t="array" ref="I1879">SUMPRODUCT(([1]OUT_FinalEnergyCons!$B$4:$B$10000="Var_cap")*1, (ISNUMBER(SEARCH("ITOT-SWHH2BR",[1]OUT_FinalEnergyCons!$A$4:$A$10000)))*1,[1]OUT_FinalEnergyCons!G$4:G$10000)</f>
        <v>0</v>
      </c>
      <c r="J1879" s="1" cm="1">
        <f t="array" ref="J1879">SUMPRODUCT(([1]OUT_FinalEnergyCons!$B$4:$B$10000="Var_cap")*1, (ISNUMBER(SEARCH("ITOT-SWHH2BR",[1]OUT_FinalEnergyCons!$A$4:$A$10000)))*1,[1]OUT_FinalEnergyCons!H$4:H$10000)</f>
        <v>1.0633405415995394</v>
      </c>
      <c r="K1879" s="1" cm="1">
        <f t="array" ref="K1879">SUMPRODUCT(([1]OUT_FinalEnergyCons!$B$4:$B$10000="Var_cap")*1, (ISNUMBER(SEARCH("ITOT-SWHH2BR",[1]OUT_FinalEnergyCons!$A$4:$A$10000)))*1,[1]OUT_FinalEnergyCons!I$4:I$10000)</f>
        <v>1.4351325617163611</v>
      </c>
    </row>
    <row r="1880" spans="2:11" x14ac:dyDescent="0.35">
      <c r="B1880" s="9" t="str">
        <f t="shared" si="1165"/>
        <v>SPS2</v>
      </c>
      <c r="C1880" s="9" t="str">
        <f>C1808</f>
        <v>CH</v>
      </c>
      <c r="D1880" s="2" t="s">
        <v>1901</v>
      </c>
      <c r="E1880" s="9" t="str">
        <f t="shared" si="1121"/>
        <v>GWth/yr.</v>
      </c>
      <c r="F1880" s="17">
        <f>SUM(F1881,F1884,F1886,F1890,F1892,F1894,F1896)</f>
        <v>6.1442741737292668</v>
      </c>
      <c r="G1880" s="17">
        <f t="shared" ref="G1880:K1880" si="1220">SUM(G1881,G1884,G1886,G1890,G1892,G1894,G1896)</f>
        <v>5.842266956550616</v>
      </c>
      <c r="H1880" s="17">
        <f t="shared" si="1220"/>
        <v>5.5732091609972745</v>
      </c>
      <c r="I1880" s="17">
        <f t="shared" si="1220"/>
        <v>6.0977476876052474</v>
      </c>
      <c r="J1880" s="17">
        <f t="shared" si="1220"/>
        <v>4.5355468003660508</v>
      </c>
      <c r="K1880" s="17">
        <f t="shared" si="1220"/>
        <v>4.1462190280280806</v>
      </c>
    </row>
    <row r="1881" spans="2:11" x14ac:dyDescent="0.35">
      <c r="B1881" s="5" t="str">
        <f t="shared" si="1165"/>
        <v>SPS2</v>
      </c>
      <c r="C1881" s="5" t="str">
        <f>C1880</f>
        <v>CH</v>
      </c>
      <c r="D1881" t="s">
        <v>1902</v>
      </c>
      <c r="E1881" t="str">
        <f t="shared" si="1121"/>
        <v>GWth/yr.</v>
      </c>
      <c r="F1881" s="1">
        <f>SUM(F1882:F1883)</f>
        <v>0.61561158533137084</v>
      </c>
      <c r="G1881" s="1">
        <f t="shared" ref="G1881:K1881" si="1221">SUM(G1882:G1883)</f>
        <v>0.46404249617023219</v>
      </c>
      <c r="H1881" s="1">
        <f t="shared" si="1221"/>
        <v>0.4713365424216639</v>
      </c>
      <c r="I1881" s="1">
        <f t="shared" si="1221"/>
        <v>0.66139144245899861</v>
      </c>
      <c r="J1881" s="1">
        <f t="shared" si="1221"/>
        <v>1.2175172206833724</v>
      </c>
      <c r="K1881" s="1">
        <f t="shared" si="1221"/>
        <v>1.4016935319197625</v>
      </c>
    </row>
    <row r="1882" spans="2:11" x14ac:dyDescent="0.35">
      <c r="B1882" s="5" t="str">
        <f t="shared" si="1165"/>
        <v>SPS2</v>
      </c>
      <c r="C1882" s="5" t="str">
        <f>C1881</f>
        <v>CH</v>
      </c>
      <c r="D1882" t="s">
        <v>1903</v>
      </c>
      <c r="E1882" t="str">
        <f t="shared" si="1121"/>
        <v>GWth/yr.</v>
      </c>
      <c r="F1882" s="1" cm="1">
        <f t="array" ref="F1882">SUMPRODUCT(([1]OUT_FinalEnergyCons!$B$4:$B$10000="Var_cap")*1, (ISNUMBER(SEARCH("SCOM-SHELCBR",[1]OUT_FinalEnergyCons!$A$4:$A$10000)))*1,[1]OUT_FinalEnergyCons!D$4:D$10000)</f>
        <v>0.18499384060942506</v>
      </c>
      <c r="G1882" s="1" cm="1">
        <f t="array" ref="G1882">SUMPRODUCT(([1]OUT_FinalEnergyCons!$B$4:$B$10000="Var_cap")*1, (ISNUMBER(SEARCH("SCOM-SHELCBR",[1]OUT_FinalEnergyCons!$A$4:$A$10000)))*1,[1]OUT_FinalEnergyCons!E$4:E$10000)</f>
        <v>3.3428216354758539E-2</v>
      </c>
      <c r="H1882" s="1" cm="1">
        <f t="array" ref="H1882">SUMPRODUCT(([1]OUT_FinalEnergyCons!$B$4:$B$10000="Var_cap")*1, (ISNUMBER(SEARCH("SCOM-SHELCBR",[1]OUT_FinalEnergyCons!$A$4:$A$10000)))*1,[1]OUT_FinalEnergyCons!F$4:F$10000)</f>
        <v>4.0722195875852768E-2</v>
      </c>
      <c r="I1882" s="1" cm="1">
        <f t="array" ref="I1882">SUMPRODUCT(([1]OUT_FinalEnergyCons!$B$4:$B$10000="Var_cap")*1, (ISNUMBER(SEARCH("SCOM-SHELCBR",[1]OUT_FinalEnergyCons!$A$4:$A$10000)))*1,[1]OUT_FinalEnergyCons!G$4:G$10000)</f>
        <v>4.0618077012618992E-2</v>
      </c>
      <c r="J1882" s="1" cm="1">
        <f t="array" ref="J1882">SUMPRODUCT(([1]OUT_FinalEnergyCons!$B$4:$B$10000="Var_cap")*1, (ISNUMBER(SEARCH("SCOM-SHELCBR",[1]OUT_FinalEnergyCons!$A$4:$A$10000)))*1,[1]OUT_FinalEnergyCons!H$4:H$10000)</f>
        <v>3.2345093230914522E-2</v>
      </c>
      <c r="K1882" s="1" cm="1">
        <f t="array" ref="K1882">SUMPRODUCT(([1]OUT_FinalEnergyCons!$B$4:$B$10000="Var_cap")*1, (ISNUMBER(SEARCH("SCOM-SHELCBR",[1]OUT_FinalEnergyCons!$A$4:$A$10000)))*1,[1]OUT_FinalEnergyCons!I$4:I$10000)</f>
        <v>1.7916738672885662E-2</v>
      </c>
    </row>
    <row r="1883" spans="2:11" x14ac:dyDescent="0.35">
      <c r="B1883" s="5" t="str">
        <f t="shared" si="1165"/>
        <v>SPS2</v>
      </c>
      <c r="C1883" s="5" t="str">
        <f t="shared" ref="C1883" si="1222">C1882</f>
        <v>CH</v>
      </c>
      <c r="D1883" t="s">
        <v>1904</v>
      </c>
      <c r="E1883" t="str">
        <f t="shared" si="1121"/>
        <v>GWth/yr.</v>
      </c>
      <c r="F1883" s="1" cm="1">
        <f t="array" ref="F1883">SUMPRODUCT(([1]OUT_FinalEnergyCons!$B$4:$B$10000="Var_cap")*1, (ISNUMBER(SEARCH("SCOM-SHELCHP",[1]OUT_FinalEnergyCons!$A$4:$A$10000)))*1,[1]OUT_FinalEnergyCons!D$4:D$10000)</f>
        <v>0.43061774472194575</v>
      </c>
      <c r="G1883" s="1" cm="1">
        <f t="array" ref="G1883">SUMPRODUCT(([1]OUT_FinalEnergyCons!$B$4:$B$10000="Var_cap")*1, (ISNUMBER(SEARCH("SCOM-SHELCHP",[1]OUT_FinalEnergyCons!$A$4:$A$10000)))*1,[1]OUT_FinalEnergyCons!E$4:E$10000)</f>
        <v>0.43061427981547368</v>
      </c>
      <c r="H1883" s="1" cm="1">
        <f t="array" ref="H1883">SUMPRODUCT(([1]OUT_FinalEnergyCons!$B$4:$B$10000="Var_cap")*1, (ISNUMBER(SEARCH("SCOM-SHELCHP",[1]OUT_FinalEnergyCons!$A$4:$A$10000)))*1,[1]OUT_FinalEnergyCons!F$4:F$10000)</f>
        <v>0.43061434654581116</v>
      </c>
      <c r="I1883" s="1" cm="1">
        <f t="array" ref="I1883">SUMPRODUCT(([1]OUT_FinalEnergyCons!$B$4:$B$10000="Var_cap")*1, (ISNUMBER(SEARCH("SCOM-SHELCHP",[1]OUT_FinalEnergyCons!$A$4:$A$10000)))*1,[1]OUT_FinalEnergyCons!G$4:G$10000)</f>
        <v>0.62077336544637962</v>
      </c>
      <c r="J1883" s="1" cm="1">
        <f t="array" ref="J1883">SUMPRODUCT(([1]OUT_FinalEnergyCons!$B$4:$B$10000="Var_cap")*1, (ISNUMBER(SEARCH("SCOM-SHELCHP",[1]OUT_FinalEnergyCons!$A$4:$A$10000)))*1,[1]OUT_FinalEnergyCons!H$4:H$10000)</f>
        <v>1.1851721274524578</v>
      </c>
      <c r="K1883" s="1" cm="1">
        <f t="array" ref="K1883">SUMPRODUCT(([1]OUT_FinalEnergyCons!$B$4:$B$10000="Var_cap")*1, (ISNUMBER(SEARCH("SCOM-SHELCHP",[1]OUT_FinalEnergyCons!$A$4:$A$10000)))*1,[1]OUT_FinalEnergyCons!I$4:I$10000)</f>
        <v>1.383776793246877</v>
      </c>
    </row>
    <row r="1884" spans="2:11" x14ac:dyDescent="0.35">
      <c r="B1884" s="5" t="str">
        <f t="shared" si="1165"/>
        <v>SPS2</v>
      </c>
      <c r="C1884" s="5" t="str">
        <f t="shared" ref="C1884" si="1223">C1883</f>
        <v>CH</v>
      </c>
      <c r="D1884" t="s">
        <v>1905</v>
      </c>
      <c r="E1884" t="str">
        <f t="shared" si="1121"/>
        <v>GWth/yr.</v>
      </c>
      <c r="F1884" s="1">
        <f>F1885</f>
        <v>1.9285791931469969</v>
      </c>
      <c r="G1884" s="1">
        <f t="shared" ref="G1884:K1884" si="1224">G1885</f>
        <v>1.7738494200258961</v>
      </c>
      <c r="H1884" s="1">
        <f t="shared" si="1224"/>
        <v>1.6087805303507734</v>
      </c>
      <c r="I1884" s="1">
        <f t="shared" si="1224"/>
        <v>1.6086048064743399</v>
      </c>
      <c r="J1884" s="1">
        <f t="shared" si="1224"/>
        <v>0.33389062155941807</v>
      </c>
      <c r="K1884" s="1">
        <f t="shared" si="1224"/>
        <v>5.50509523188768E-2</v>
      </c>
    </row>
    <row r="1885" spans="2:11" x14ac:dyDescent="0.35">
      <c r="B1885" s="5" t="str">
        <f t="shared" si="1165"/>
        <v>SPS2</v>
      </c>
      <c r="C1885" s="5" t="str">
        <f t="shared" ref="C1885" si="1225">C1884</f>
        <v>CH</v>
      </c>
      <c r="D1885" t="s">
        <v>1906</v>
      </c>
      <c r="E1885" t="str">
        <f t="shared" ref="E1885:E1897" si="1226">E1884</f>
        <v>GWth/yr.</v>
      </c>
      <c r="F1885" s="1" cm="1">
        <f t="array" ref="F1885">SUMPRODUCT(([1]OUT_FinalEnergyCons!$B$4:$B$10000="Var_cap")*1,(ISNUMBER(SEARCH("SCOM-SHLFOBR",[1]OUT_FinalEnergyCons!$A$4:$A$10000)))*1,[1]OUT_FinalEnergyCons!D$4:D$10000)</f>
        <v>1.9285791931469969</v>
      </c>
      <c r="G1885" s="1" cm="1">
        <f t="array" ref="G1885">SUMPRODUCT(([1]OUT_FinalEnergyCons!$B$4:$B$10000="Var_cap")*1,(ISNUMBER(SEARCH("SCOM-SHLFOBR",[1]OUT_FinalEnergyCons!$A$4:$A$10000)))*1,[1]OUT_FinalEnergyCons!E$4:E$10000)</f>
        <v>1.7738494200258961</v>
      </c>
      <c r="H1885" s="1" cm="1">
        <f t="array" ref="H1885">SUMPRODUCT(([1]OUT_FinalEnergyCons!$B$4:$B$10000="Var_cap")*1,(ISNUMBER(SEARCH("SCOM-SHLFOBR",[1]OUT_FinalEnergyCons!$A$4:$A$10000)))*1,[1]OUT_FinalEnergyCons!F$4:F$10000)</f>
        <v>1.6087805303507734</v>
      </c>
      <c r="I1885" s="1" cm="1">
        <f t="array" ref="I1885">SUMPRODUCT(([1]OUT_FinalEnergyCons!$B$4:$B$10000="Var_cap")*1,(ISNUMBER(SEARCH("SCOM-SHLFOBR",[1]OUT_FinalEnergyCons!$A$4:$A$10000)))*1,[1]OUT_FinalEnergyCons!G$4:G$10000)</f>
        <v>1.6086048064743399</v>
      </c>
      <c r="J1885" s="1" cm="1">
        <f t="array" ref="J1885">SUMPRODUCT(([1]OUT_FinalEnergyCons!$B$4:$B$10000="Var_cap")*1,(ISNUMBER(SEARCH("SCOM-SHLFOBR",[1]OUT_FinalEnergyCons!$A$4:$A$10000)))*1,[1]OUT_FinalEnergyCons!H$4:H$10000)</f>
        <v>0.33389062155941807</v>
      </c>
      <c r="K1885" s="1" cm="1">
        <f t="array" ref="K1885">SUMPRODUCT(([1]OUT_FinalEnergyCons!$B$4:$B$10000="Var_cap")*1,(ISNUMBER(SEARCH("SCOM-SHLFOBR",[1]OUT_FinalEnergyCons!$A$4:$A$10000)))*1,[1]OUT_FinalEnergyCons!I$4:I$10000)</f>
        <v>5.50509523188768E-2</v>
      </c>
    </row>
    <row r="1886" spans="2:11" x14ac:dyDescent="0.35">
      <c r="B1886" s="5" t="str">
        <f t="shared" si="1165"/>
        <v>SPS2</v>
      </c>
      <c r="C1886" s="5" t="str">
        <f t="shared" ref="C1886" si="1227">C1885</f>
        <v>CH</v>
      </c>
      <c r="D1886" t="s">
        <v>1907</v>
      </c>
      <c r="E1886" t="str">
        <f t="shared" si="1226"/>
        <v>GWth/yr.</v>
      </c>
      <c r="F1886" s="1">
        <f>SUM(F1887:F1889)</f>
        <v>2.8800266466274578</v>
      </c>
      <c r="G1886" s="1">
        <f t="shared" ref="G1886:K1886" si="1228">SUM(G1887:G1889)</f>
        <v>2.8510624359432679</v>
      </c>
      <c r="H1886" s="1">
        <f t="shared" si="1228"/>
        <v>2.7839713421104877</v>
      </c>
      <c r="I1886" s="1">
        <f t="shared" si="1228"/>
        <v>3.1186501067614047</v>
      </c>
      <c r="J1886" s="1">
        <f t="shared" si="1228"/>
        <v>1.4654468168807975</v>
      </c>
      <c r="K1886" s="1">
        <f t="shared" si="1228"/>
        <v>1.1527958696569094</v>
      </c>
    </row>
    <row r="1887" spans="2:11" x14ac:dyDescent="0.35">
      <c r="B1887" s="5" t="str">
        <f t="shared" si="1165"/>
        <v>SPS2</v>
      </c>
      <c r="C1887" s="5" t="str">
        <f t="shared" ref="C1887" si="1229">C1886</f>
        <v>CH</v>
      </c>
      <c r="D1887" t="s">
        <v>1908</v>
      </c>
      <c r="E1887" t="str">
        <f t="shared" si="1226"/>
        <v>GWth/yr.</v>
      </c>
      <c r="F1887" s="1" cm="1">
        <f t="array" ref="F1887">SUMPRODUCT(([1]OUT_FinalEnergyCons!$B$4:$B$10000="Var_cap")*1, (ISNUMBER(SEARCH("SCOM-SHNGABR",[1]OUT_FinalEnergyCons!$A$4:$A$10000)))*1,[1]OUT_FinalEnergyCons!D$4:D$10000)</f>
        <v>2.774682009589915</v>
      </c>
      <c r="G1887" s="1" cm="1">
        <f t="array" ref="G1887">SUMPRODUCT(([1]OUT_FinalEnergyCons!$B$4:$B$10000="Var_cap")*1, (ISNUMBER(SEARCH("SCOM-SHNGABR",[1]OUT_FinalEnergyCons!$A$4:$A$10000)))*1,[1]OUT_FinalEnergyCons!E$4:E$10000)</f>
        <v>2.7455754361135005</v>
      </c>
      <c r="H1887" s="1" cm="1">
        <f t="array" ref="H1887">SUMPRODUCT(([1]OUT_FinalEnergyCons!$B$4:$B$10000="Var_cap")*1, (ISNUMBER(SEARCH("SCOM-SHNGABR",[1]OUT_FinalEnergyCons!$A$4:$A$10000)))*1,[1]OUT_FinalEnergyCons!F$4:F$10000)</f>
        <v>2.4913706799020208</v>
      </c>
      <c r="I1887" s="1" cm="1">
        <f t="array" ref="I1887">SUMPRODUCT(([1]OUT_FinalEnergyCons!$B$4:$B$10000="Var_cap")*1, (ISNUMBER(SEARCH("SCOM-SHNGABR",[1]OUT_FinalEnergyCons!$A$4:$A$10000)))*1,[1]OUT_FinalEnergyCons!G$4:G$10000)</f>
        <v>2.4912212301813121</v>
      </c>
      <c r="J1887" s="1" cm="1">
        <f t="array" ref="J1887">SUMPRODUCT(([1]OUT_FinalEnergyCons!$B$4:$B$10000="Var_cap")*1, (ISNUMBER(SEARCH("SCOM-SHNGABR",[1]OUT_FinalEnergyCons!$A$4:$A$10000)))*1,[1]OUT_FinalEnergyCons!H$4:H$10000)</f>
        <v>0.58648423931321969</v>
      </c>
      <c r="K1887" s="1" cm="1">
        <f t="array" ref="K1887">SUMPRODUCT(([1]OUT_FinalEnergyCons!$B$4:$B$10000="Var_cap")*1, (ISNUMBER(SEARCH("SCOM-SHNGABR",[1]OUT_FinalEnergyCons!$A$4:$A$10000)))*1,[1]OUT_FinalEnergyCons!I$4:I$10000)</f>
        <v>0.24814802366453231</v>
      </c>
    </row>
    <row r="1888" spans="2:11" x14ac:dyDescent="0.35">
      <c r="B1888" s="5" t="str">
        <f t="shared" si="1165"/>
        <v>SPS2</v>
      </c>
      <c r="C1888" s="5" t="str">
        <f t="shared" ref="C1888" si="1230">C1887</f>
        <v>CH</v>
      </c>
      <c r="D1888" t="s">
        <v>1909</v>
      </c>
      <c r="E1888" t="str">
        <f t="shared" si="1226"/>
        <v>GWth/yr.</v>
      </c>
      <c r="F1888" s="1" cm="1">
        <f t="array" ref="F1888">SUMPRODUCT(([1]OUT_FinalEnergyCons!$B$4:$B$10000="Var_cap")*1, (ISNUMBER(SEARCH("SCOM-SHngahp",[1]OUT_FinalEnergyCons!$A$4:$A$10000)))*1,[1]OUT_FinalEnergyCons!D$4:D$10000)</f>
        <v>1.2780385426138199E-6</v>
      </c>
      <c r="G1888" s="1" cm="1">
        <f t="array" ref="G1888">SUMPRODUCT(([1]OUT_FinalEnergyCons!$B$4:$B$10000="Var_cap")*1, (ISNUMBER(SEARCH("SCOM-SHngahp",[1]OUT_FinalEnergyCons!$A$4:$A$10000)))*1,[1]OUT_FinalEnergyCons!E$4:E$10000)</f>
        <v>1.220868892354392E-4</v>
      </c>
      <c r="H1888" s="1" cm="1">
        <f t="array" ref="H1888">SUMPRODUCT(([1]OUT_FinalEnergyCons!$B$4:$B$10000="Var_cap")*1, (ISNUMBER(SEARCH("SCOM-SHngahp",[1]OUT_FinalEnergyCons!$A$4:$A$10000)))*1,[1]OUT_FinalEnergyCons!F$4:F$10000)</f>
        <v>0.18735455470648682</v>
      </c>
      <c r="I1888" s="1" cm="1">
        <f t="array" ref="I1888">SUMPRODUCT(([1]OUT_FinalEnergyCons!$B$4:$B$10000="Var_cap")*1, (ISNUMBER(SEARCH("SCOM-SHngahp",[1]OUT_FinalEnergyCons!$A$4:$A$10000)))*1,[1]OUT_FinalEnergyCons!G$4:G$10000)</f>
        <v>0.52220962029649942</v>
      </c>
      <c r="J1888" s="1" cm="1">
        <f t="array" ref="J1888">SUMPRODUCT(([1]OUT_FinalEnergyCons!$B$4:$B$10000="Var_cap")*1, (ISNUMBER(SEARCH("SCOM-SHngahp",[1]OUT_FinalEnergyCons!$A$4:$A$10000)))*1,[1]OUT_FinalEnergyCons!H$4:H$10000)</f>
        <v>0.87868965599868398</v>
      </c>
      <c r="K1888" s="1" cm="1">
        <f t="array" ref="K1888">SUMPRODUCT(([1]OUT_FinalEnergyCons!$B$4:$B$10000="Var_cap")*1, (ISNUMBER(SEARCH("SCOM-SHngahp",[1]OUT_FinalEnergyCons!$A$4:$A$10000)))*1,[1]OUT_FinalEnergyCons!I$4:I$10000)</f>
        <v>0.90441348924496479</v>
      </c>
    </row>
    <row r="1889" spans="2:11" x14ac:dyDescent="0.35">
      <c r="B1889" s="5" t="str">
        <f t="shared" si="1165"/>
        <v>SPS2</v>
      </c>
      <c r="C1889" s="5" t="str">
        <f t="shared" ref="C1889" si="1231">C1888</f>
        <v>CH</v>
      </c>
      <c r="D1889" t="s">
        <v>1910</v>
      </c>
      <c r="E1889" t="str">
        <f t="shared" si="1226"/>
        <v>GWth/yr.</v>
      </c>
      <c r="F1889" s="1" cm="1">
        <f t="array" ref="F1889">SUMPRODUCT(([1]OUT_FinalEnergyCons!$B$4:$B$10000="Var_cap")*1, (("SCOM-SHBIOBR"=[1]OUT_FinalEnergyCons!$A$4:$A$10000)*1+("SCOM-SHBNGABR"=[1]OUT_FinalEnergyCons!$A$4:$A$10000)*1),[1]OUT_FinalEnergyCons!D$4:D$10000)</f>
        <v>0.10534335899900017</v>
      </c>
      <c r="G1889" s="1" cm="1">
        <f t="array" ref="G1889">SUMPRODUCT(([1]OUT_FinalEnergyCons!$B$4:$B$10000="Var_cap")*1, (("SCOM-SHBIOBR"=[1]OUT_FinalEnergyCons!$A$4:$A$10000)*1+("SCOM-SHBNGABR"=[1]OUT_FinalEnergyCons!$A$4:$A$10000)*1),[1]OUT_FinalEnergyCons!E$4:E$10000)</f>
        <v>0.10536491294053185</v>
      </c>
      <c r="H1889" s="1" cm="1">
        <f t="array" ref="H1889">SUMPRODUCT(([1]OUT_FinalEnergyCons!$B$4:$B$10000="Var_cap")*1, (("SCOM-SHBIOBR"=[1]OUT_FinalEnergyCons!$A$4:$A$10000)*1+("SCOM-SHBNGABR"=[1]OUT_FinalEnergyCons!$A$4:$A$10000)*1),[1]OUT_FinalEnergyCons!F$4:F$10000)</f>
        <v>0.1052461075019801</v>
      </c>
      <c r="I1889" s="1" cm="1">
        <f t="array" ref="I1889">SUMPRODUCT(([1]OUT_FinalEnergyCons!$B$4:$B$10000="Var_cap")*1, (("SCOM-SHBIOBR"=[1]OUT_FinalEnergyCons!$A$4:$A$10000)*1+("SCOM-SHBNGABR"=[1]OUT_FinalEnergyCons!$A$4:$A$10000)*1),[1]OUT_FinalEnergyCons!G$4:G$10000)</f>
        <v>0.10521925628359345</v>
      </c>
      <c r="J1889" s="1" cm="1">
        <f t="array" ref="J1889">SUMPRODUCT(([1]OUT_FinalEnergyCons!$B$4:$B$10000="Var_cap")*1, (("SCOM-SHBIOBR"=[1]OUT_FinalEnergyCons!$A$4:$A$10000)*1+("SCOM-SHBNGABR"=[1]OUT_FinalEnergyCons!$A$4:$A$10000)*1),[1]OUT_FinalEnergyCons!H$4:H$10000)</f>
        <v>2.7292156889377413E-4</v>
      </c>
      <c r="K1889" s="1" cm="1">
        <f t="array" ref="K1889">SUMPRODUCT(([1]OUT_FinalEnergyCons!$B$4:$B$10000="Var_cap")*1, (("SCOM-SHBIOBR"=[1]OUT_FinalEnergyCons!$A$4:$A$10000)*1+("SCOM-SHBNGABR"=[1]OUT_FinalEnergyCons!$A$4:$A$10000)*1),[1]OUT_FinalEnergyCons!I$4:I$10000)</f>
        <v>2.3435674741226578E-4</v>
      </c>
    </row>
    <row r="1890" spans="2:11" x14ac:dyDescent="0.35">
      <c r="B1890" s="5" t="str">
        <f t="shared" si="1165"/>
        <v>SPS2</v>
      </c>
      <c r="C1890" s="5" t="str">
        <f t="shared" ref="C1890" si="1232">C1889</f>
        <v>CH</v>
      </c>
      <c r="D1890" t="s">
        <v>1911</v>
      </c>
      <c r="E1890" t="str">
        <f t="shared" si="1226"/>
        <v>GWth/yr.</v>
      </c>
      <c r="F1890" s="1">
        <f>F1891</f>
        <v>0.4784305908666398</v>
      </c>
      <c r="G1890" s="1">
        <f t="shared" ref="G1890:K1890" si="1233">G1891</f>
        <v>0.47843504641151685</v>
      </c>
      <c r="H1890" s="1">
        <f t="shared" si="1233"/>
        <v>0.55007232806892747</v>
      </c>
      <c r="I1890" s="1">
        <f t="shared" si="1233"/>
        <v>0.55005007731931521</v>
      </c>
      <c r="J1890" s="1">
        <f t="shared" si="1233"/>
        <v>0.39558654739802424</v>
      </c>
      <c r="K1890" s="1">
        <f t="shared" si="1233"/>
        <v>0.27690959260588527</v>
      </c>
    </row>
    <row r="1891" spans="2:11" x14ac:dyDescent="0.35">
      <c r="B1891" s="5" t="str">
        <f t="shared" si="1165"/>
        <v>SPS2</v>
      </c>
      <c r="C1891" s="5" t="str">
        <f t="shared" ref="C1891" si="1234">C1890</f>
        <v>CH</v>
      </c>
      <c r="D1891" t="s">
        <v>1912</v>
      </c>
      <c r="E1891" t="str">
        <f t="shared" si="1226"/>
        <v>GWth/yr.</v>
      </c>
      <c r="F1891" s="1" cm="1">
        <f t="array" ref="F1891">SUMPRODUCT(([1]OUT_FinalEnergyCons!$B$4:$B$10000="Var_cap")*1, (ISNUMBER(SEARCH("SCOM-SHWODBR",[1]OUT_FinalEnergyCons!$A$4:$A$10000)))*1,[1]OUT_FinalEnergyCons!D$4:D$10000)</f>
        <v>0.4784305908666398</v>
      </c>
      <c r="G1891" s="1" cm="1">
        <f t="array" ref="G1891">SUMPRODUCT(([1]OUT_FinalEnergyCons!$B$4:$B$10000="Var_cap")*1, (ISNUMBER(SEARCH("SCOM-SHWODBR",[1]OUT_FinalEnergyCons!$A$4:$A$10000)))*1,[1]OUT_FinalEnergyCons!E$4:E$10000)</f>
        <v>0.47843504641151685</v>
      </c>
      <c r="H1891" s="1" cm="1">
        <f t="array" ref="H1891">SUMPRODUCT(([1]OUT_FinalEnergyCons!$B$4:$B$10000="Var_cap")*1, (ISNUMBER(SEARCH("SCOM-SHWODBR",[1]OUT_FinalEnergyCons!$A$4:$A$10000)))*1,[1]OUT_FinalEnergyCons!F$4:F$10000)</f>
        <v>0.55007232806892747</v>
      </c>
      <c r="I1891" s="1" cm="1">
        <f t="array" ref="I1891">SUMPRODUCT(([1]OUT_FinalEnergyCons!$B$4:$B$10000="Var_cap")*1, (ISNUMBER(SEARCH("SCOM-SHWODBR",[1]OUT_FinalEnergyCons!$A$4:$A$10000)))*1,[1]OUT_FinalEnergyCons!G$4:G$10000)</f>
        <v>0.55005007731931521</v>
      </c>
      <c r="J1891" s="1" cm="1">
        <f t="array" ref="J1891">SUMPRODUCT(([1]OUT_FinalEnergyCons!$B$4:$B$10000="Var_cap")*1, (ISNUMBER(SEARCH("SCOM-SHWODBR",[1]OUT_FinalEnergyCons!$A$4:$A$10000)))*1,[1]OUT_FinalEnergyCons!H$4:H$10000)</f>
        <v>0.39558654739802424</v>
      </c>
      <c r="K1891" s="1" cm="1">
        <f t="array" ref="K1891">SUMPRODUCT(([1]OUT_FinalEnergyCons!$B$4:$B$10000="Var_cap")*1, (ISNUMBER(SEARCH("SCOM-SHWODBR",[1]OUT_FinalEnergyCons!$A$4:$A$10000)))*1,[1]OUT_FinalEnergyCons!I$4:I$10000)</f>
        <v>0.27690959260588527</v>
      </c>
    </row>
    <row r="1892" spans="2:11" x14ac:dyDescent="0.35">
      <c r="B1892" s="5" t="str">
        <f t="shared" si="1165"/>
        <v>SPS2</v>
      </c>
      <c r="C1892" s="5" t="str">
        <f t="shared" ref="C1892" si="1235">C1891</f>
        <v>CH</v>
      </c>
      <c r="D1892" t="s">
        <v>1913</v>
      </c>
      <c r="E1892" t="str">
        <f t="shared" si="1226"/>
        <v>GWth/yr.</v>
      </c>
      <c r="F1892" s="1">
        <f>F1893</f>
        <v>0.15051438673154027</v>
      </c>
      <c r="G1892" s="1">
        <f t="shared" ref="G1892:K1892" si="1236">G1893</f>
        <v>0.17499949239958176</v>
      </c>
      <c r="H1892" s="1">
        <f t="shared" si="1236"/>
        <v>5.9173410474921903E-2</v>
      </c>
      <c r="I1892" s="1">
        <f t="shared" si="1236"/>
        <v>5.9169853108421697E-2</v>
      </c>
      <c r="J1892" s="1">
        <f t="shared" si="1236"/>
        <v>5.9818333079767493E-2</v>
      </c>
      <c r="K1892" s="1">
        <f t="shared" si="1236"/>
        <v>6.1483554747257932E-2</v>
      </c>
    </row>
    <row r="1893" spans="2:11" x14ac:dyDescent="0.35">
      <c r="B1893" s="5" t="str">
        <f t="shared" si="1165"/>
        <v>SPS2</v>
      </c>
      <c r="C1893" s="5" t="str">
        <f t="shared" ref="C1893" si="1237">C1892</f>
        <v>CH</v>
      </c>
      <c r="D1893" t="s">
        <v>1914</v>
      </c>
      <c r="E1893" t="str">
        <f t="shared" si="1226"/>
        <v>GWth/yr.</v>
      </c>
      <c r="F1893" s="1" cm="1">
        <f t="array" ref="F1893">SUMPRODUCT(([1]OUT_FinalEnergyCons!$B$4:$B$10000="Var_cap")*1,(ISNUMBER(SEARCH("SCOM-SHPLTBR",[1]OUT_FinalEnergyCons!$A$4:$A$10000)))*1,[1]OUT_FinalEnergyCons!D$4:D$10000)</f>
        <v>0.15051438673154027</v>
      </c>
      <c r="G1893" s="1" cm="1">
        <f t="array" ref="G1893">SUMPRODUCT(([1]OUT_FinalEnergyCons!$B$4:$B$10000="Var_cap")*1,(ISNUMBER(SEARCH("SCOM-SHPLTBR",[1]OUT_FinalEnergyCons!$A$4:$A$10000)))*1,[1]OUT_FinalEnergyCons!E$4:E$10000)</f>
        <v>0.17499949239958176</v>
      </c>
      <c r="H1893" s="1" cm="1">
        <f t="array" ref="H1893">SUMPRODUCT(([1]OUT_FinalEnergyCons!$B$4:$B$10000="Var_cap")*1,(ISNUMBER(SEARCH("SCOM-SHPLTBR",[1]OUT_FinalEnergyCons!$A$4:$A$10000)))*1,[1]OUT_FinalEnergyCons!F$4:F$10000)</f>
        <v>5.9173410474921903E-2</v>
      </c>
      <c r="I1893" s="1" cm="1">
        <f t="array" ref="I1893">SUMPRODUCT(([1]OUT_FinalEnergyCons!$B$4:$B$10000="Var_cap")*1,(ISNUMBER(SEARCH("SCOM-SHPLTBR",[1]OUT_FinalEnergyCons!$A$4:$A$10000)))*1,[1]OUT_FinalEnergyCons!G$4:G$10000)</f>
        <v>5.9169853108421697E-2</v>
      </c>
      <c r="J1893" s="1" cm="1">
        <f t="array" ref="J1893">SUMPRODUCT(([1]OUT_FinalEnergyCons!$B$4:$B$10000="Var_cap")*1,(ISNUMBER(SEARCH("SCOM-SHPLTBR",[1]OUT_FinalEnergyCons!$A$4:$A$10000)))*1,[1]OUT_FinalEnergyCons!H$4:H$10000)</f>
        <v>5.9818333079767493E-2</v>
      </c>
      <c r="K1893" s="1" cm="1">
        <f t="array" ref="K1893">SUMPRODUCT(([1]OUT_FinalEnergyCons!$B$4:$B$10000="Var_cap")*1,(ISNUMBER(SEARCH("SCOM-SHPLTBR",[1]OUT_FinalEnergyCons!$A$4:$A$10000)))*1,[1]OUT_FinalEnergyCons!I$4:I$10000)</f>
        <v>6.1483554747257932E-2</v>
      </c>
    </row>
    <row r="1894" spans="2:11" x14ac:dyDescent="0.35">
      <c r="B1894" s="5" t="str">
        <f t="shared" si="1165"/>
        <v>SPS2</v>
      </c>
      <c r="C1894" s="5" t="str">
        <f t="shared" ref="C1894" si="1238">C1893</f>
        <v>CH</v>
      </c>
      <c r="D1894" t="s">
        <v>1915</v>
      </c>
      <c r="E1894" t="str">
        <f t="shared" si="1226"/>
        <v>GWth/yr.</v>
      </c>
      <c r="F1894" s="1">
        <f>F1895</f>
        <v>9.1111771025261773E-2</v>
      </c>
      <c r="G1894" s="1">
        <f t="shared" ref="G1894:K1894" si="1239">G1895</f>
        <v>9.9878065600121121E-2</v>
      </c>
      <c r="H1894" s="1">
        <f t="shared" si="1239"/>
        <v>9.987500757049933E-2</v>
      </c>
      <c r="I1894" s="1">
        <f t="shared" si="1239"/>
        <v>9.9879330300138791E-2</v>
      </c>
      <c r="J1894" s="1">
        <f t="shared" si="1239"/>
        <v>0.11425126499302526</v>
      </c>
      <c r="K1894" s="1">
        <f t="shared" si="1239"/>
        <v>0.12288706003414582</v>
      </c>
    </row>
    <row r="1895" spans="2:11" x14ac:dyDescent="0.35">
      <c r="B1895" s="5" t="str">
        <f t="shared" si="1165"/>
        <v>SPS2</v>
      </c>
      <c r="C1895" s="5" t="str">
        <f t="shared" ref="C1895" si="1240">C1894</f>
        <v>CH</v>
      </c>
      <c r="D1895" t="s">
        <v>1916</v>
      </c>
      <c r="E1895" t="str">
        <f t="shared" si="1226"/>
        <v>GWth/yr.</v>
      </c>
      <c r="F1895" s="1" cm="1">
        <f t="array" ref="F1895">SUMPRODUCT(([1]OUT_FinalEnergyCons!$B$4:$B$10000="Var_cap")*1, (ISNUMBER(SEARCH("SCOM-SHSOLBR",[1]OUT_FinalEnergyCons!$A$4:$A$10000)))*1,[1]OUT_FinalEnergyCons!D$4:D$10000)</f>
        <v>9.1111771025261773E-2</v>
      </c>
      <c r="G1895" s="1" cm="1">
        <f t="array" ref="G1895">SUMPRODUCT(([1]OUT_FinalEnergyCons!$B$4:$B$10000="Var_cap")*1, (ISNUMBER(SEARCH("SCOM-SHSOLBR",[1]OUT_FinalEnergyCons!$A$4:$A$10000)))*1,[1]OUT_FinalEnergyCons!E$4:E$10000)</f>
        <v>9.9878065600121121E-2</v>
      </c>
      <c r="H1895" s="1" cm="1">
        <f t="array" ref="H1895">SUMPRODUCT(([1]OUT_FinalEnergyCons!$B$4:$B$10000="Var_cap")*1, (ISNUMBER(SEARCH("SCOM-SHSOLBR",[1]OUT_FinalEnergyCons!$A$4:$A$10000)))*1,[1]OUT_FinalEnergyCons!F$4:F$10000)</f>
        <v>9.987500757049933E-2</v>
      </c>
      <c r="I1895" s="1" cm="1">
        <f t="array" ref="I1895">SUMPRODUCT(([1]OUT_FinalEnergyCons!$B$4:$B$10000="Var_cap")*1, (ISNUMBER(SEARCH("SCOM-SHSOLBR",[1]OUT_FinalEnergyCons!$A$4:$A$10000)))*1,[1]OUT_FinalEnergyCons!G$4:G$10000)</f>
        <v>9.9879330300138791E-2</v>
      </c>
      <c r="J1895" s="1" cm="1">
        <f t="array" ref="J1895">SUMPRODUCT(([1]OUT_FinalEnergyCons!$B$4:$B$10000="Var_cap")*1, (ISNUMBER(SEARCH("SCOM-SHSOLBR",[1]OUT_FinalEnergyCons!$A$4:$A$10000)))*1,[1]OUT_FinalEnergyCons!H$4:H$10000)</f>
        <v>0.11425126499302526</v>
      </c>
      <c r="K1895" s="1" cm="1">
        <f t="array" ref="K1895">SUMPRODUCT(([1]OUT_FinalEnergyCons!$B$4:$B$10000="Var_cap")*1, (ISNUMBER(SEARCH("SCOM-SHSOLBR",[1]OUT_FinalEnergyCons!$A$4:$A$10000)))*1,[1]OUT_FinalEnergyCons!I$4:I$10000)</f>
        <v>0.12288706003414582</v>
      </c>
    </row>
    <row r="1896" spans="2:11" x14ac:dyDescent="0.35">
      <c r="B1896" s="5" t="str">
        <f t="shared" si="1165"/>
        <v>SPS2</v>
      </c>
      <c r="C1896" s="5" t="str">
        <f t="shared" ref="C1896" si="1241">C1895</f>
        <v>CH</v>
      </c>
      <c r="D1896" t="s">
        <v>1917</v>
      </c>
      <c r="E1896" t="str">
        <f t="shared" si="1226"/>
        <v>GWth/yr.</v>
      </c>
      <c r="F1896" s="1">
        <f>F1897</f>
        <v>0</v>
      </c>
      <c r="G1896" s="1">
        <f t="shared" ref="G1896:K1896" si="1242">G1897</f>
        <v>0</v>
      </c>
      <c r="H1896" s="1">
        <f t="shared" si="1242"/>
        <v>0</v>
      </c>
      <c r="I1896" s="1">
        <f t="shared" si="1242"/>
        <v>2.0711826280466299E-6</v>
      </c>
      <c r="J1896" s="1">
        <f t="shared" si="1242"/>
        <v>0.94903599577164532</v>
      </c>
      <c r="K1896" s="1">
        <f t="shared" si="1242"/>
        <v>1.075398466745243</v>
      </c>
    </row>
    <row r="1897" spans="2:11" x14ac:dyDescent="0.35">
      <c r="B1897" s="5" t="str">
        <f t="shared" si="1165"/>
        <v>SPS2</v>
      </c>
      <c r="C1897" s="5" t="str">
        <f t="shared" ref="C1897" si="1243">C1896</f>
        <v>CH</v>
      </c>
      <c r="D1897" t="s">
        <v>1918</v>
      </c>
      <c r="E1897" t="str">
        <f t="shared" si="1226"/>
        <v>GWth/yr.</v>
      </c>
      <c r="F1897" s="1" cm="1">
        <f t="array" ref="F1897">SUMPRODUCT(([1]OUT_FinalEnergyCons!$B$4:$B$10000="Var_cap")*1, (ISNUMBER(SEARCH("SCOM-SHH2BR",[1]OUT_FinalEnergyCons!$A$4:$A$10000)))*1,[1]OUT_FinalEnergyCons!D$4:D$10000)</f>
        <v>0</v>
      </c>
      <c r="G1897" s="1" cm="1">
        <f t="array" ref="G1897">SUMPRODUCT(([1]OUT_FinalEnergyCons!$B$4:$B$10000="Var_cap")*1, (ISNUMBER(SEARCH("SCOM-SHH2BR",[1]OUT_FinalEnergyCons!$A$4:$A$10000)))*1,[1]OUT_FinalEnergyCons!E$4:E$10000)</f>
        <v>0</v>
      </c>
      <c r="H1897" s="1" cm="1">
        <f t="array" ref="H1897">SUMPRODUCT(([1]OUT_FinalEnergyCons!$B$4:$B$10000="Var_cap")*1, (ISNUMBER(SEARCH("SCOM-SHH2BR",[1]OUT_FinalEnergyCons!$A$4:$A$10000)))*1,[1]OUT_FinalEnergyCons!F$4:F$10000)</f>
        <v>0</v>
      </c>
      <c r="I1897" s="1" cm="1">
        <f t="array" ref="I1897">SUMPRODUCT(([1]OUT_FinalEnergyCons!$B$4:$B$10000="Var_cap")*1, (ISNUMBER(SEARCH("SCOM-SHH2BR",[1]OUT_FinalEnergyCons!$A$4:$A$10000)))*1,[1]OUT_FinalEnergyCons!G$4:G$10000)</f>
        <v>2.0711826280466299E-6</v>
      </c>
      <c r="J1897" s="1" cm="1">
        <f t="array" ref="J1897">SUMPRODUCT(([1]OUT_FinalEnergyCons!$B$4:$B$10000="Var_cap")*1, (ISNUMBER(SEARCH("SCOM-SHH2BR",[1]OUT_FinalEnergyCons!$A$4:$A$10000)))*1,[1]OUT_FinalEnergyCons!H$4:H$10000)</f>
        <v>0.94903599577164532</v>
      </c>
      <c r="K1897" s="1" cm="1">
        <f t="array" ref="K1897">SUMPRODUCT(([1]OUT_FinalEnergyCons!$B$4:$B$10000="Var_cap")*1, (ISNUMBER(SEARCH("SCOM-SHH2BR",[1]OUT_FinalEnergyCons!$A$4:$A$10000)))*1,[1]OUT_FinalEnergyCons!I$4:I$10000)</f>
        <v>1.075398466745243</v>
      </c>
    </row>
    <row r="1898" spans="2:11" x14ac:dyDescent="0.35">
      <c r="B1898" s="5" t="str">
        <f t="shared" si="1165"/>
        <v>SPS2</v>
      </c>
      <c r="C1898" s="5" t="str">
        <f>C1897</f>
        <v>CH</v>
      </c>
      <c r="D1898" s="2" t="s">
        <v>1921</v>
      </c>
      <c r="E1898" s="2" t="s">
        <v>1973</v>
      </c>
      <c r="F1898" s="3">
        <f>SUM(F1899:F1948)</f>
        <v>4.6767935864694996</v>
      </c>
      <c r="G1898" s="3">
        <f t="shared" ref="G1898:K1898" si="1244">SUM(G1899:G1948)</f>
        <v>4.8061531774707085</v>
      </c>
      <c r="H1898" s="3">
        <f t="shared" si="1244"/>
        <v>4.9059006564341336</v>
      </c>
      <c r="I1898" s="3">
        <f t="shared" si="1244"/>
        <v>5.2124708821169996</v>
      </c>
      <c r="J1898" s="3">
        <f t="shared" si="1244"/>
        <v>5.5472981492898858</v>
      </c>
      <c r="K1898" s="3">
        <f t="shared" si="1244"/>
        <v>5.755898325160226</v>
      </c>
    </row>
    <row r="1899" spans="2:11" x14ac:dyDescent="0.35">
      <c r="B1899" s="5" t="str">
        <f t="shared" si="1165"/>
        <v>SPS2</v>
      </c>
      <c r="C1899" s="5" t="str">
        <f t="shared" ref="C1899:C1948" si="1245">C1898</f>
        <v>CH</v>
      </c>
      <c r="D1899" t="s">
        <v>1922</v>
      </c>
      <c r="E1899" t="str">
        <f>E1898</f>
        <v>Million</v>
      </c>
      <c r="F1899" s="1" cm="1">
        <f t="array" ref="F1899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899" s="1" cm="1">
        <f t="array" ref="G1899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899" s="1" cm="1">
        <f t="array" ref="H1899">SUMPRODUCT(("Var_Cap"=[1]OUT_TransportEnergyCons!$B$4:$B$10000)*1,("-"=[1]OUT_TransportEnergyCons!$C$4:$C$10000)*1,ISNUMBER(SEARCH("T_C*bat*ext",[1]OUT_TransportEnergyCons!$A$4:$A$10000))*1,[1]OUT_TransportEnergyCons!F$4:F$10000)</f>
        <v>2.8026307801264135E-2</v>
      </c>
      <c r="I1899" s="1" cm="1">
        <f t="array" ref="I1899">SUMPRODUCT(("Var_Cap"=[1]OUT_TransportEnergyCons!$B$4:$B$10000)*1,("-"=[1]OUT_TransportEnergyCons!$C$4:$C$10000)*1,ISNUMBER(SEARCH("T_C*bat*ext",[1]OUT_TransportEnergyCons!$A$4:$A$10000))*1,[1]OUT_TransportEnergyCons!G$4:G$10000)</f>
        <v>1.4013308667020665E-2</v>
      </c>
      <c r="J1899" s="1" cm="1">
        <f t="array" ref="J1899">SUMPRODUCT(("Var_Cap"=[1]OUT_TransportEnergyCons!$B$4:$B$10000)*1,("-"=[1]OUT_TransportEnergyCons!$C$4:$C$10000)*1,ISNUMBER(SEARCH("T_C*bat*ext",[1]OUT_TransportEnergyCons!$A$4:$A$10000))*1,[1]OUT_TransportEnergyCons!H$4:H$10000)</f>
        <v>0</v>
      </c>
      <c r="K1899" s="1" cm="1">
        <f t="array" ref="K1899">SUMPRODUCT(("Var_Cap"=[1]OUT_TransportEnergyCons!$B$4:$B$10000)*1,("-"=[1]OUT_TransportEnergyCons!$C$4:$C$10000)*1,ISNUMBER(SEARCH("T_C*bat*ext",[1]OUT_TransportEnergyCons!$A$4:$A$10000))*1,[1]OUT_TransportEnergyCons!I$4:I$10000)</f>
        <v>0</v>
      </c>
    </row>
    <row r="1900" spans="2:11" x14ac:dyDescent="0.35">
      <c r="B1900" s="5" t="str">
        <f t="shared" si="1165"/>
        <v>SPS2</v>
      </c>
      <c r="C1900" s="5" t="str">
        <f t="shared" si="1245"/>
        <v>CH</v>
      </c>
      <c r="D1900" t="s">
        <v>1923</v>
      </c>
      <c r="E1900" t="str">
        <f t="shared" ref="E1900:E1948" si="1246">E1899</f>
        <v>Million</v>
      </c>
      <c r="F1900" s="1" cm="1">
        <f t="array" ref="F1900">SUMPRODUCT(("Var_Cap"=[1]OUT_TransportEnergyCons!$B$4:$B$10000)*1,("-"=[1]OUT_TransportEnergyCons!$C$4:$C$10000)*1,ISNUMBER(SEARCH("T_C*bat*s1",[1]OUT_TransportEnergyCons!$A$4:$A$10000))*1,[1]OUT_TransportEnergyCons!D$4:D$10000)</f>
        <v>1.6421038541942906E-3</v>
      </c>
      <c r="G1900" s="1" cm="1">
        <f t="array" ref="G1900">SUMPRODUCT(("Var_Cap"=[1]OUT_TransportEnergyCons!$B$4:$B$10000)*1,("-"=[1]OUT_TransportEnergyCons!$C$4:$C$10000)*1,ISNUMBER(SEARCH("T_C*bat*s1",[1]OUT_TransportEnergyCons!$A$4:$A$10000))*1,[1]OUT_TransportEnergyCons!E$4:E$10000)</f>
        <v>2.7619638878113306E-3</v>
      </c>
      <c r="H1900" s="1" cm="1">
        <f t="array" ref="H1900">SUMPRODUCT(("Var_Cap"=[1]OUT_TransportEnergyCons!$B$4:$B$10000)*1,("-"=[1]OUT_TransportEnergyCons!$C$4:$C$10000)*1,ISNUMBER(SEARCH("T_C*bat*s1",[1]OUT_TransportEnergyCons!$A$4:$A$10000))*1,[1]OUT_TransportEnergyCons!F$4:F$10000)</f>
        <v>2.9322975527292169E-3</v>
      </c>
      <c r="I1900" s="1" cm="1">
        <f t="array" ref="I1900">SUMPRODUCT(("Var_Cap"=[1]OUT_TransportEnergyCons!$B$4:$B$10000)*1,("-"=[1]OUT_TransportEnergyCons!$C$4:$C$10000)*1,ISNUMBER(SEARCH("T_C*bat*s1",[1]OUT_TransportEnergyCons!$A$4:$A$10000))*1,[1]OUT_TransportEnergyCons!G$4:G$10000)</f>
        <v>0.10592821990623531</v>
      </c>
      <c r="J1900" s="1" cm="1">
        <f t="array" ref="J1900">SUMPRODUCT(("Var_Cap"=[1]OUT_TransportEnergyCons!$B$4:$B$10000)*1,("-"=[1]OUT_TransportEnergyCons!$C$4:$C$10000)*1,ISNUMBER(SEARCH("T_C*bat*s1",[1]OUT_TransportEnergyCons!$A$4:$A$10000))*1,[1]OUT_TransportEnergyCons!H$4:H$10000)</f>
        <v>0.35104443636334093</v>
      </c>
      <c r="K1900" s="1" cm="1">
        <f t="array" ref="K1900">SUMPRODUCT(("Var_Cap"=[1]OUT_TransportEnergyCons!$B$4:$B$10000)*1,("-"=[1]OUT_TransportEnergyCons!$C$4:$C$10000)*1,ISNUMBER(SEARCH("T_C*bat*s1",[1]OUT_TransportEnergyCons!$A$4:$A$10000))*1,[1]OUT_TransportEnergyCons!I$4:I$10000)</f>
        <v>0.37164615497072562</v>
      </c>
    </row>
    <row r="1901" spans="2:11" x14ac:dyDescent="0.35">
      <c r="B1901" s="5" t="str">
        <f t="shared" si="1165"/>
        <v>SPS2</v>
      </c>
      <c r="C1901" s="5" t="str">
        <f t="shared" si="1245"/>
        <v>CH</v>
      </c>
      <c r="D1901" t="s">
        <v>1924</v>
      </c>
      <c r="E1901" t="str">
        <f t="shared" si="1246"/>
        <v>Million</v>
      </c>
      <c r="F1901" s="1" cm="1">
        <f t="array" ref="F1901">SUMPRODUCT(("Var_Cap"=[1]OUT_TransportEnergyCons!$B$4:$B$10000)*1,("-"=[1]OUT_TransportEnergyCons!$C$4:$C$10000)*1,ISNUMBER(SEARCH("T_C*bat*s2",[1]OUT_TransportEnergyCons!$A$4:$A$10000))*1,[1]OUT_TransportEnergyCons!D$4:D$10000)</f>
        <v>7.4138202588693572E-3</v>
      </c>
      <c r="G1901" s="1" cm="1">
        <f t="array" ref="G1901">SUMPRODUCT(("Var_Cap"=[1]OUT_TransportEnergyCons!$B$4:$B$10000)*1,("-"=[1]OUT_TransportEnergyCons!$C$4:$C$10000)*1,ISNUMBER(SEARCH("T_C*bat*s2",[1]OUT_TransportEnergyCons!$A$4:$A$10000))*1,[1]OUT_TransportEnergyCons!E$4:E$10000)</f>
        <v>1.1937586386511292E-2</v>
      </c>
      <c r="H1901" s="1" cm="1">
        <f t="array" ref="H1901">SUMPRODUCT(("Var_Cap"=[1]OUT_TransportEnergyCons!$B$4:$B$10000)*1,("-"=[1]OUT_TransportEnergyCons!$C$4:$C$10000)*1,ISNUMBER(SEARCH("T_C*bat*s2",[1]OUT_TransportEnergyCons!$A$4:$A$10000))*1,[1]OUT_TransportEnergyCons!F$4:F$10000)</f>
        <v>1.4675438520234832E-2</v>
      </c>
      <c r="I1901" s="1" cm="1">
        <f t="array" ref="I1901">SUMPRODUCT(("Var_Cap"=[1]OUT_TransportEnergyCons!$B$4:$B$10000)*1,("-"=[1]OUT_TransportEnergyCons!$C$4:$C$10000)*1,ISNUMBER(SEARCH("T_C*bat*s2",[1]OUT_TransportEnergyCons!$A$4:$A$10000))*1,[1]OUT_TransportEnergyCons!G$4:G$10000)</f>
        <v>0.51386992020609534</v>
      </c>
      <c r="J1901" s="1" cm="1">
        <f t="array" ref="J1901">SUMPRODUCT(("Var_Cap"=[1]OUT_TransportEnergyCons!$B$4:$B$10000)*1,("-"=[1]OUT_TransportEnergyCons!$C$4:$C$10000)*1,ISNUMBER(SEARCH("T_C*bat*s2",[1]OUT_TransportEnergyCons!$A$4:$A$10000))*1,[1]OUT_TransportEnergyCons!H$4:H$10000)</f>
        <v>1.9064521850423319</v>
      </c>
      <c r="K1901" s="1" cm="1">
        <f t="array" ref="K1901">SUMPRODUCT(("Var_Cap"=[1]OUT_TransportEnergyCons!$B$4:$B$10000)*1,("-"=[1]OUT_TransportEnergyCons!$C$4:$C$10000)*1,ISNUMBER(SEARCH("T_C*bat*s2",[1]OUT_TransportEnergyCons!$A$4:$A$10000))*1,[1]OUT_TransportEnergyCons!I$4:I$10000)</f>
        <v>1.9019401285548738</v>
      </c>
    </row>
    <row r="1902" spans="2:11" x14ac:dyDescent="0.35">
      <c r="B1902" s="5" t="str">
        <f t="shared" si="1165"/>
        <v>SPS2</v>
      </c>
      <c r="C1902" s="5" t="str">
        <f t="shared" si="1245"/>
        <v>CH</v>
      </c>
      <c r="D1902" t="s">
        <v>1925</v>
      </c>
      <c r="E1902" t="str">
        <f t="shared" si="1246"/>
        <v>Million</v>
      </c>
      <c r="F1902" s="1" cm="1">
        <f t="array" ref="F1902">SUMPRODUCT(("Var_Cap"=[1]OUT_TransportEnergyCons!$B$4:$B$10000)*1,("-"=[1]OUT_TransportEnergyCons!$C$4:$C$10000)*1,ISNUMBER(SEARCH("T_C*bat*s3",[1]OUT_TransportEnergyCons!$A$4:$A$10000))*1,[1]OUT_TransportEnergyCons!D$4:D$10000)</f>
        <v>4.3758102943715158E-3</v>
      </c>
      <c r="G1902" s="1" cm="1">
        <f t="array" ref="G1902">SUMPRODUCT(("Var_Cap"=[1]OUT_TransportEnergyCons!$B$4:$B$10000)*1,("-"=[1]OUT_TransportEnergyCons!$C$4:$C$10000)*1,ISNUMBER(SEARCH("T_C*bat*s3",[1]OUT_TransportEnergyCons!$A$4:$A$10000))*1,[1]OUT_TransportEnergyCons!E$4:E$10000)</f>
        <v>9.111696893195893E-3</v>
      </c>
      <c r="H1902" s="1" cm="1">
        <f t="array" ref="H1902">SUMPRODUCT(("Var_Cap"=[1]OUT_TransportEnergyCons!$B$4:$B$10000)*1,("-"=[1]OUT_TransportEnergyCons!$C$4:$C$10000)*1,ISNUMBER(SEARCH("T_C*bat*s3",[1]OUT_TransportEnergyCons!$A$4:$A$10000))*1,[1]OUT_TransportEnergyCons!F$4:F$10000)</f>
        <v>2.7950711632194342E-2</v>
      </c>
      <c r="I1902" s="1" cm="1">
        <f t="array" ref="I1902">SUMPRODUCT(("Var_Cap"=[1]OUT_TransportEnergyCons!$B$4:$B$10000)*1,("-"=[1]OUT_TransportEnergyCons!$C$4:$C$10000)*1,ISNUMBER(SEARCH("T_C*bat*s3",[1]OUT_TransportEnergyCons!$A$4:$A$10000))*1,[1]OUT_TransportEnergyCons!G$4:G$10000)</f>
        <v>6.1495912937862371E-2</v>
      </c>
      <c r="J1902" s="1" cm="1">
        <f t="array" ref="J1902">SUMPRODUCT(("Var_Cap"=[1]OUT_TransportEnergyCons!$B$4:$B$10000)*1,("-"=[1]OUT_TransportEnergyCons!$C$4:$C$10000)*1,ISNUMBER(SEARCH("T_C*bat*s3",[1]OUT_TransportEnergyCons!$A$4:$A$10000))*1,[1]OUT_TransportEnergyCons!H$4:H$10000)</f>
        <v>0.48215192588126532</v>
      </c>
      <c r="K1902" s="1" cm="1">
        <f t="array" ref="K1902">SUMPRODUCT(("Var_Cap"=[1]OUT_TransportEnergyCons!$B$4:$B$10000)*1,("-"=[1]OUT_TransportEnergyCons!$C$4:$C$10000)*1,ISNUMBER(SEARCH("T_C*bat*s3",[1]OUT_TransportEnergyCons!$A$4:$A$10000))*1,[1]OUT_TransportEnergyCons!I$4:I$10000)</f>
        <v>1.050641479494562</v>
      </c>
    </row>
    <row r="1903" spans="2:11" x14ac:dyDescent="0.35">
      <c r="B1903" s="5" t="str">
        <f t="shared" si="1165"/>
        <v>SPS2</v>
      </c>
      <c r="C1903" s="5" t="str">
        <f t="shared" si="1245"/>
        <v>CH</v>
      </c>
      <c r="D1903" t="s">
        <v>1926</v>
      </c>
      <c r="E1903" t="str">
        <f t="shared" si="1246"/>
        <v>Million</v>
      </c>
      <c r="F1903" s="1" cm="1">
        <f t="array" ref="F1903">SUMPRODUCT(("Var_Cap"=[1]OUT_TransportEnergyCons!$B$4:$B$10000)*1,("-"=[1]OUT_TransportEnergyCons!$C$4:$C$10000)*1,ISNUMBER(SEARCH("T_C*bat*s4",[1]OUT_TransportEnergyCons!$A$4:$A$10000))*1,[1]OUT_TransportEnergyCons!D$4:D$10000)</f>
        <v>1.5415999793824508E-2</v>
      </c>
      <c r="G1903" s="1" cm="1">
        <f t="array" ref="G1903">SUMPRODUCT(("Var_Cap"=[1]OUT_TransportEnergyCons!$B$4:$B$10000)*1,("-"=[1]OUT_TransportEnergyCons!$C$4:$C$10000)*1,ISNUMBER(SEARCH("T_C*bat*s4",[1]OUT_TransportEnergyCons!$A$4:$A$10000))*1,[1]OUT_TransportEnergyCons!E$4:E$10000)</f>
        <v>0.10767121754525838</v>
      </c>
      <c r="H1903" s="1" cm="1">
        <f t="array" ref="H1903">SUMPRODUCT(("Var_Cap"=[1]OUT_TransportEnergyCons!$B$4:$B$10000)*1,("-"=[1]OUT_TransportEnergyCons!$C$4:$C$10000)*1,ISNUMBER(SEARCH("T_C*bat*s4",[1]OUT_TransportEnergyCons!$A$4:$A$10000))*1,[1]OUT_TransportEnergyCons!F$4:F$10000)</f>
        <v>0.34756341129058982</v>
      </c>
      <c r="I1903" s="1" cm="1">
        <f t="array" ref="I1903">SUMPRODUCT(("Var_Cap"=[1]OUT_TransportEnergyCons!$B$4:$B$10000)*1,("-"=[1]OUT_TransportEnergyCons!$C$4:$C$10000)*1,ISNUMBER(SEARCH("T_C*bat*s4",[1]OUT_TransportEnergyCons!$A$4:$A$10000))*1,[1]OUT_TransportEnergyCons!G$4:G$10000)</f>
        <v>1.1161809976327322</v>
      </c>
      <c r="J1903" s="1" cm="1">
        <f t="array" ref="J1903">SUMPRODUCT(("Var_Cap"=[1]OUT_TransportEnergyCons!$B$4:$B$10000)*1,("-"=[1]OUT_TransportEnergyCons!$C$4:$C$10000)*1,ISNUMBER(SEARCH("T_C*bat*s4",[1]OUT_TransportEnergyCons!$A$4:$A$10000))*1,[1]OUT_TransportEnergyCons!H$4:H$10000)</f>
        <v>1.9408877633704489</v>
      </c>
      <c r="K1903" s="1" cm="1">
        <f t="array" ref="K1903">SUMPRODUCT(("Var_Cap"=[1]OUT_TransportEnergyCons!$B$4:$B$10000)*1,("-"=[1]OUT_TransportEnergyCons!$C$4:$C$10000)*1,ISNUMBER(SEARCH("T_C*bat*s4",[1]OUT_TransportEnergyCons!$A$4:$A$10000))*1,[1]OUT_TransportEnergyCons!I$4:I$10000)</f>
        <v>2.2520362896230504</v>
      </c>
    </row>
    <row r="1904" spans="2:11" x14ac:dyDescent="0.35">
      <c r="B1904" s="5" t="str">
        <f t="shared" si="1165"/>
        <v>SPS2</v>
      </c>
      <c r="C1904" s="5" t="str">
        <f t="shared" si="1245"/>
        <v>CH</v>
      </c>
      <c r="D1904" t="s">
        <v>1927</v>
      </c>
      <c r="E1904" t="str">
        <f t="shared" si="1246"/>
        <v>Million</v>
      </c>
      <c r="F1904" s="1" cm="1">
        <f t="array" ref="F1904">SUMPRODUCT(("Var_Cap"=[1]OUT_TransportEnergyCons!$B$4:$B$10000)*1,("-"=[1]OUT_TransportEnergyCons!$C$4:$C$10000)*1,ISNUMBER(SEARCH("T_C*pev*GSL*s1",[1]OUT_TransportEnergyCons!$A$4:$A$10000))*1,[1]OUT_TransportEnergyCons!D$4:D$10000)</f>
        <v>2.597090448572774E-5</v>
      </c>
      <c r="G1904" s="1" cm="1">
        <f t="array" ref="G1904">SUMPRODUCT(("Var_Cap"=[1]OUT_TransportEnergyCons!$B$4:$B$10000)*1,("-"=[1]OUT_TransportEnergyCons!$C$4:$C$10000)*1,ISNUMBER(SEARCH("T_C*pev*GSL*s1",[1]OUT_TransportEnergyCons!$A$4:$A$10000))*1,[1]OUT_TransportEnergyCons!E$4:E$10000)</f>
        <v>2.1900699859919316E-4</v>
      </c>
      <c r="H1904" s="1" cm="1">
        <f t="array" ref="H1904">SUMPRODUCT(("Var_Cap"=[1]OUT_TransportEnergyCons!$B$4:$B$10000)*1,("-"=[1]OUT_TransportEnergyCons!$C$4:$C$10000)*1,ISNUMBER(SEARCH("T_C*pev*GSL*s1",[1]OUT_TransportEnergyCons!$A$4:$A$10000))*1,[1]OUT_TransportEnergyCons!F$4:F$10000)</f>
        <v>3.6601548804665227E-4</v>
      </c>
      <c r="I1904" s="1" cm="1">
        <f t="array" ref="I1904">SUMPRODUCT(("Var_Cap"=[1]OUT_TransportEnergyCons!$B$4:$B$10000)*1,("-"=[1]OUT_TransportEnergyCons!$C$4:$C$10000)*1,ISNUMBER(SEARCH("T_C*pev*GSL*s1",[1]OUT_TransportEnergyCons!$A$4:$A$10000))*1,[1]OUT_TransportEnergyCons!G$4:G$10000)</f>
        <v>1.2449851923035304E-3</v>
      </c>
      <c r="J1904" s="1" cm="1">
        <f t="array" ref="J1904">SUMPRODUCT(("Var_Cap"=[1]OUT_TransportEnergyCons!$B$4:$B$10000)*1,("-"=[1]OUT_TransportEnergyCons!$C$4:$C$10000)*1,ISNUMBER(SEARCH("T_C*pev*GSL*s1",[1]OUT_TransportEnergyCons!$A$4:$A$10000))*1,[1]OUT_TransportEnergyCons!H$4:H$10000)</f>
        <v>9.6005004473792273E-4</v>
      </c>
      <c r="K1904" s="1" cm="1">
        <f t="array" ref="K1904">SUMPRODUCT(("Var_Cap"=[1]OUT_TransportEnergyCons!$B$4:$B$10000)*1,("-"=[1]OUT_TransportEnergyCons!$C$4:$C$10000)*1,ISNUMBER(SEARCH("T_C*pev*GSL*s1",[1]OUT_TransportEnergyCons!$A$4:$A$10000))*1,[1]OUT_TransportEnergyCons!I$4:I$10000)</f>
        <v>1.6603308126996946E-4</v>
      </c>
    </row>
    <row r="1905" spans="2:11" x14ac:dyDescent="0.35">
      <c r="B1905" s="5" t="str">
        <f t="shared" si="1165"/>
        <v>SPS2</v>
      </c>
      <c r="C1905" s="5" t="str">
        <f t="shared" si="1245"/>
        <v>CH</v>
      </c>
      <c r="D1905" t="s">
        <v>1928</v>
      </c>
      <c r="E1905" t="str">
        <f t="shared" si="1246"/>
        <v>Million</v>
      </c>
      <c r="F1905" s="1" cm="1">
        <f t="array" ref="F1905">SUMPRODUCT(("Var_Cap"=[1]OUT_TransportEnergyCons!$B$4:$B$10000)*1,("-"=[1]OUT_TransportEnergyCons!$C$4:$C$10000)*1,ISNUMBER(SEARCH("T_C*pev*GSL*s2",[1]OUT_TransportEnergyCons!$A$4:$A$10000))*1,[1]OUT_TransportEnergyCons!D$4:D$10000)</f>
        <v>4.8841603155373144E-3</v>
      </c>
      <c r="G1905" s="1" cm="1">
        <f t="array" ref="G1905">SUMPRODUCT(("Var_Cap"=[1]OUT_TransportEnergyCons!$B$4:$B$10000)*1,("-"=[1]OUT_TransportEnergyCons!$C$4:$C$10000)*1,ISNUMBER(SEARCH("T_C*pev*GSL*s2",[1]OUT_TransportEnergyCons!$A$4:$A$10000))*1,[1]OUT_TransportEnergyCons!E$4:E$10000)</f>
        <v>7.5525765883524059E-3</v>
      </c>
      <c r="H1905" s="1" cm="1">
        <f t="array" ref="H1905">SUMPRODUCT(("Var_Cap"=[1]OUT_TransportEnergyCons!$B$4:$B$10000)*1,("-"=[1]OUT_TransportEnergyCons!$C$4:$C$10000)*1,ISNUMBER(SEARCH("T_C*pev*GSL*s2",[1]OUT_TransportEnergyCons!$A$4:$A$10000))*1,[1]OUT_TransportEnergyCons!F$4:F$10000)</f>
        <v>7.4997614524826648E-3</v>
      </c>
      <c r="I1905" s="1" cm="1">
        <f t="array" ref="I1905">SUMPRODUCT(("Var_Cap"=[1]OUT_TransportEnergyCons!$B$4:$B$10000)*1,("-"=[1]OUT_TransportEnergyCons!$C$4:$C$10000)*1,ISNUMBER(SEARCH("T_C*pev*GSL*s2",[1]OUT_TransportEnergyCons!$A$4:$A$10000))*1,[1]OUT_TransportEnergyCons!G$4:G$10000)</f>
        <v>6.6435504895609784E-3</v>
      </c>
      <c r="J1905" s="1" cm="1">
        <f t="array" ref="J1905">SUMPRODUCT(("Var_Cap"=[1]OUT_TransportEnergyCons!$B$4:$B$10000)*1,("-"=[1]OUT_TransportEnergyCons!$C$4:$C$10000)*1,ISNUMBER(SEARCH("T_C*pev*GSL*s2",[1]OUT_TransportEnergyCons!$A$4:$A$10000))*1,[1]OUT_TransportEnergyCons!H$4:H$10000)</f>
        <v>3.1694469742952021E-3</v>
      </c>
      <c r="K1905" s="1" cm="1">
        <f t="array" ref="K1905">SUMPRODUCT(("Var_Cap"=[1]OUT_TransportEnergyCons!$B$4:$B$10000)*1,("-"=[1]OUT_TransportEnergyCons!$C$4:$C$10000)*1,ISNUMBER(SEARCH("T_C*pev*GSL*s2",[1]OUT_TransportEnergyCons!$A$4:$A$10000))*1,[1]OUT_TransportEnergyCons!I$4:I$10000)</f>
        <v>8.5978657463350221E-4</v>
      </c>
    </row>
    <row r="1906" spans="2:11" x14ac:dyDescent="0.35">
      <c r="B1906" s="5" t="str">
        <f t="shared" si="1165"/>
        <v>SPS2</v>
      </c>
      <c r="C1906" s="5" t="str">
        <f t="shared" si="1245"/>
        <v>CH</v>
      </c>
      <c r="D1906" t="s">
        <v>1929</v>
      </c>
      <c r="E1906" t="str">
        <f t="shared" si="1246"/>
        <v>Million</v>
      </c>
      <c r="F1906" s="1" cm="1">
        <f t="array" ref="F1906">SUMPRODUCT(("Var_Cap"=[1]OUT_TransportEnergyCons!$B$4:$B$10000)*1,("-"=[1]OUT_TransportEnergyCons!$C$4:$C$10000)*1,ISNUMBER(SEARCH("T_C*pev*GSL*s3",[1]OUT_TransportEnergyCons!$A$4:$A$10000))*1,[1]OUT_TransportEnergyCons!D$4:D$10000)</f>
        <v>4.0673158343176958E-3</v>
      </c>
      <c r="G1906" s="1" cm="1">
        <f t="array" ref="G1906">SUMPRODUCT(("Var_Cap"=[1]OUT_TransportEnergyCons!$B$4:$B$10000)*1,("-"=[1]OUT_TransportEnergyCons!$C$4:$C$10000)*1,ISNUMBER(SEARCH("T_C*pev*GSL*s3",[1]OUT_TransportEnergyCons!$A$4:$A$10000))*1,[1]OUT_TransportEnergyCons!E$4:E$10000)</f>
        <v>4.4133228462247077E-2</v>
      </c>
      <c r="H1906" s="1" cm="1">
        <f t="array" ref="H1906">SUMPRODUCT(("Var_Cap"=[1]OUT_TransportEnergyCons!$B$4:$B$10000)*1,("-"=[1]OUT_TransportEnergyCons!$C$4:$C$10000)*1,ISNUMBER(SEARCH("T_C*pev*GSL*s3",[1]OUT_TransportEnergyCons!$A$4:$A$10000))*1,[1]OUT_TransportEnergyCons!F$4:F$10000)</f>
        <v>8.1185002771928971E-2</v>
      </c>
      <c r="I1906" s="1" cm="1">
        <f t="array" ref="I1906">SUMPRODUCT(("Var_Cap"=[1]OUT_TransportEnergyCons!$B$4:$B$10000)*1,("-"=[1]OUT_TransportEnergyCons!$C$4:$C$10000)*1,ISNUMBER(SEARCH("T_C*pev*GSL*s3",[1]OUT_TransportEnergyCons!$A$4:$A$10000))*1,[1]OUT_TransportEnergyCons!G$4:G$10000)</f>
        <v>0.36090144747946584</v>
      </c>
      <c r="J1906" s="1" cm="1">
        <f t="array" ref="J1906">SUMPRODUCT(("Var_Cap"=[1]OUT_TransportEnergyCons!$B$4:$B$10000)*1,("-"=[1]OUT_TransportEnergyCons!$C$4:$C$10000)*1,ISNUMBER(SEARCH("T_C*pev*GSL*s3",[1]OUT_TransportEnergyCons!$A$4:$A$10000))*1,[1]OUT_TransportEnergyCons!H$4:H$10000)</f>
        <v>0.47695335138729139</v>
      </c>
      <c r="K1906" s="1" cm="1">
        <f t="array" ref="K1906">SUMPRODUCT(("Var_Cap"=[1]OUT_TransportEnergyCons!$B$4:$B$10000)*1,("-"=[1]OUT_TransportEnergyCons!$C$4:$C$10000)*1,ISNUMBER(SEARCH("T_C*pev*GSL*s3",[1]OUT_TransportEnergyCons!$A$4:$A$10000))*1,[1]OUT_TransportEnergyCons!I$4:I$10000)</f>
        <v>0.10412217281655582</v>
      </c>
    </row>
    <row r="1907" spans="2:11" x14ac:dyDescent="0.35">
      <c r="B1907" s="5" t="str">
        <f t="shared" si="1165"/>
        <v>SPS2</v>
      </c>
      <c r="C1907" s="5" t="str">
        <f t="shared" si="1245"/>
        <v>CH</v>
      </c>
      <c r="D1907" t="s">
        <v>1930</v>
      </c>
      <c r="E1907" t="str">
        <f t="shared" si="1246"/>
        <v>Million</v>
      </c>
      <c r="F1907" s="1" cm="1">
        <f t="array" ref="F1907">SUMPRODUCT(("Var_Cap"=[1]OUT_TransportEnergyCons!$B$4:$B$10000)*1,("-"=[1]OUT_TransportEnergyCons!$C$4:$C$10000)*1,ISNUMBER(SEARCH("T_C*pev*GSL*s4",[1]OUT_TransportEnergyCons!$A$4:$A$10000))*1,[1]OUT_TransportEnergyCons!D$4:D$10000)</f>
        <v>7.2611146572137773E-3</v>
      </c>
      <c r="G1907" s="1" cm="1">
        <f t="array" ref="G1907">SUMPRODUCT(("Var_Cap"=[1]OUT_TransportEnergyCons!$B$4:$B$10000)*1,("-"=[1]OUT_TransportEnergyCons!$C$4:$C$10000)*1,ISNUMBER(SEARCH("T_C*pev*GSL*s4",[1]OUT_TransportEnergyCons!$A$4:$A$10000))*1,[1]OUT_TransportEnergyCons!E$4:E$10000)</f>
        <v>1.3016742824486872E-2</v>
      </c>
      <c r="H1907" s="1" cm="1">
        <f t="array" ref="H1907">SUMPRODUCT(("Var_Cap"=[1]OUT_TransportEnergyCons!$B$4:$B$10000)*1,("-"=[1]OUT_TransportEnergyCons!$C$4:$C$10000)*1,ISNUMBER(SEARCH("T_C*pev*GSL*s4",[1]OUT_TransportEnergyCons!$A$4:$A$10000))*1,[1]OUT_TransportEnergyCons!F$4:F$10000)</f>
        <v>1.309854522641256E-2</v>
      </c>
      <c r="I1907" s="1" cm="1">
        <f t="array" ref="I1907">SUMPRODUCT(("Var_Cap"=[1]OUT_TransportEnergyCons!$B$4:$B$10000)*1,("-"=[1]OUT_TransportEnergyCons!$C$4:$C$10000)*1,ISNUMBER(SEARCH("T_C*pev*GSL*s4",[1]OUT_TransportEnergyCons!$A$4:$A$10000))*1,[1]OUT_TransportEnergyCons!G$4:G$10000)</f>
        <v>1.1282925466512304E-2</v>
      </c>
      <c r="J1907" s="1" cm="1">
        <f t="array" ref="J1907">SUMPRODUCT(("Var_Cap"=[1]OUT_TransportEnergyCons!$B$4:$B$10000)*1,("-"=[1]OUT_TransportEnergyCons!$C$4:$C$10000)*1,ISNUMBER(SEARCH("T_C*pev*GSL*s4",[1]OUT_TransportEnergyCons!$A$4:$A$10000))*1,[1]OUT_TransportEnergyCons!H$4:H$10000)</f>
        <v>2.3264559417086705E-3</v>
      </c>
      <c r="K1907" s="1" cm="1">
        <f t="array" ref="K1907">SUMPRODUCT(("Var_Cap"=[1]OUT_TransportEnergyCons!$B$4:$B$10000)*1,("-"=[1]OUT_TransportEnergyCons!$C$4:$C$10000)*1,ISNUMBER(SEARCH("T_C*pev*GSL*s4",[1]OUT_TransportEnergyCons!$A$4:$A$10000))*1,[1]OUT_TransportEnergyCons!I$4:I$10000)</f>
        <v>5.7549758530536538E-4</v>
      </c>
    </row>
    <row r="1908" spans="2:11" x14ac:dyDescent="0.35">
      <c r="B1908" s="5" t="str">
        <f t="shared" ref="B1908:B1971" si="1247">B1907</f>
        <v>SPS2</v>
      </c>
      <c r="C1908" s="5" t="str">
        <f t="shared" si="1245"/>
        <v>CH</v>
      </c>
      <c r="D1908" t="s">
        <v>1931</v>
      </c>
      <c r="E1908" t="str">
        <f t="shared" si="1246"/>
        <v>Million</v>
      </c>
      <c r="F1908" s="1" cm="1">
        <f t="array" ref="F1908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08" s="1" cm="1">
        <f t="array" ref="G1908">SUMPRODUCT(("Var_Cap"=[1]OUT_TransportEnergyCons!$B$4:$B$10000)*1,("-"=[1]OUT_TransportEnergyCons!$C$4:$C$10000)*1,ISNUMBER(SEARCH("T_C*pev*dsl*s1",[1]OUT_TransportEnergyCons!$A$4:$A$10000))*1,[1]OUT_TransportEnergyCons!E$4:E$10000)</f>
        <v>1.9528790555091099E-4</v>
      </c>
      <c r="H1908" s="1" cm="1">
        <f t="array" ref="H1908">SUMPRODUCT(("Var_Cap"=[1]OUT_TransportEnergyCons!$B$4:$B$10000)*1,("-"=[1]OUT_TransportEnergyCons!$C$4:$C$10000)*1,ISNUMBER(SEARCH("T_C*pev*dsl*s1",[1]OUT_TransportEnergyCons!$A$4:$A$10000))*1,[1]OUT_TransportEnergyCons!F$4:F$10000)</f>
        <v>3.4344607763672096E-4</v>
      </c>
      <c r="I1908" s="1" cm="1">
        <f t="array" ref="I1908">SUMPRODUCT(("Var_Cap"=[1]OUT_TransportEnergyCons!$B$4:$B$10000)*1,("-"=[1]OUT_TransportEnergyCons!$C$4:$C$10000)*1,ISNUMBER(SEARCH("T_C*pev*dsl*s1",[1]OUT_TransportEnergyCons!$A$4:$A$10000))*1,[1]OUT_TransportEnergyCons!G$4:G$10000)</f>
        <v>1.3179162949824351E-3</v>
      </c>
      <c r="J1908" s="1" cm="1">
        <f t="array" ref="J1908">SUMPRODUCT(("Var_Cap"=[1]OUT_TransportEnergyCons!$B$4:$B$10000)*1,("-"=[1]OUT_TransportEnergyCons!$C$4:$C$10000)*1,ISNUMBER(SEARCH("T_C*pev*dsl*s1",[1]OUT_TransportEnergyCons!$A$4:$A$10000))*1,[1]OUT_TransportEnergyCons!H$4:H$10000)</f>
        <v>9.9606522040237341E-4</v>
      </c>
      <c r="K1908" s="1" cm="1">
        <f t="array" ref="K1908">SUMPRODUCT(("Var_Cap"=[1]OUT_TransportEnergyCons!$B$4:$B$10000)*1,("-"=[1]OUT_TransportEnergyCons!$C$4:$C$10000)*1,ISNUMBER(SEARCH("T_C*pev*dsl*s1",[1]OUT_TransportEnergyCons!$A$4:$A$10000))*1,[1]OUT_TransportEnergyCons!I$4:I$10000)</f>
        <v>1.660173942194485E-4</v>
      </c>
    </row>
    <row r="1909" spans="2:11" x14ac:dyDescent="0.35">
      <c r="B1909" s="5" t="str">
        <f t="shared" si="1247"/>
        <v>SPS2</v>
      </c>
      <c r="C1909" s="5" t="str">
        <f t="shared" si="1245"/>
        <v>CH</v>
      </c>
      <c r="D1909" t="s">
        <v>1932</v>
      </c>
      <c r="E1909" t="str">
        <f t="shared" si="1246"/>
        <v>Million</v>
      </c>
      <c r="F1909" s="1" cm="1">
        <f t="array" ref="F1909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09" s="1" cm="1">
        <f t="array" ref="G1909">SUMPRODUCT(("Var_Cap"=[1]OUT_TransportEnergyCons!$B$4:$B$10000)*1,("-"=[1]OUT_TransportEnergyCons!$C$4:$C$10000)*1,ISNUMBER(SEARCH("T_C*pev*dsl*s2",[1]OUT_TransportEnergyCons!$A$4:$A$10000))*1,[1]OUT_TransportEnergyCons!E$4:E$10000)</f>
        <v>1.1155997427532306E-4</v>
      </c>
      <c r="H1909" s="1" cm="1">
        <f t="array" ref="H1909">SUMPRODUCT(("Var_Cap"=[1]OUT_TransportEnergyCons!$B$4:$B$10000)*1,("-"=[1]OUT_TransportEnergyCons!$C$4:$C$10000)*1,ISNUMBER(SEARCH("T_C*pev*dsl*s2",[1]OUT_TransportEnergyCons!$A$4:$A$10000))*1,[1]OUT_TransportEnergyCons!F$4:F$10000)</f>
        <v>3.7111321029029978E-4</v>
      </c>
      <c r="I1909" s="1" cm="1">
        <f t="array" ref="I1909">SUMPRODUCT(("Var_Cap"=[1]OUT_TransportEnergyCons!$B$4:$B$10000)*1,("-"=[1]OUT_TransportEnergyCons!$C$4:$C$10000)*1,ISNUMBER(SEARCH("T_C*pev*dsl*s2",[1]OUT_TransportEnergyCons!$A$4:$A$10000))*1,[1]OUT_TransportEnergyCons!G$4:G$10000)</f>
        <v>8.9924875896237684E-4</v>
      </c>
      <c r="J1909" s="1" cm="1">
        <f t="array" ref="J1909">SUMPRODUCT(("Var_Cap"=[1]OUT_TransportEnergyCons!$B$4:$B$10000)*1,("-"=[1]OUT_TransportEnergyCons!$C$4:$C$10000)*1,ISNUMBER(SEARCH("T_C*pev*dsl*s2",[1]OUT_TransportEnergyCons!$A$4:$A$10000))*1,[1]OUT_TransportEnergyCons!H$4:H$10000)</f>
        <v>3.0449646621873096E-3</v>
      </c>
      <c r="K1909" s="1" cm="1">
        <f t="array" ref="K1909">SUMPRODUCT(("Var_Cap"=[1]OUT_TransportEnergyCons!$B$4:$B$10000)*1,("-"=[1]OUT_TransportEnergyCons!$C$4:$C$10000)*1,ISNUMBER(SEARCH("T_C*pev*dsl*s2",[1]OUT_TransportEnergyCons!$A$4:$A$10000))*1,[1]OUT_TransportEnergyCons!I$4:I$10000)</f>
        <v>8.1696638691893864E-4</v>
      </c>
    </row>
    <row r="1910" spans="2:11" x14ac:dyDescent="0.35">
      <c r="B1910" s="5" t="str">
        <f t="shared" si="1247"/>
        <v>SPS2</v>
      </c>
      <c r="C1910" s="5" t="str">
        <f t="shared" si="1245"/>
        <v>CH</v>
      </c>
      <c r="D1910" t="s">
        <v>1933</v>
      </c>
      <c r="E1910" t="str">
        <f t="shared" si="1246"/>
        <v>Million</v>
      </c>
      <c r="F1910" s="1" cm="1">
        <f t="array" ref="F1910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0" s="1" cm="1">
        <f t="array" ref="G1910">SUMPRODUCT(("Var_Cap"=[1]OUT_TransportEnergyCons!$B$4:$B$10000)*1,("-"=[1]OUT_TransportEnergyCons!$C$4:$C$10000)*1,ISNUMBER(SEARCH("T_C*pev*dsl*s3",[1]OUT_TransportEnergyCons!$A$4:$A$10000))*1,[1]OUT_TransportEnergyCons!E$4:E$10000)</f>
        <v>1.5147391012060459E-3</v>
      </c>
      <c r="H1910" s="1" cm="1">
        <f t="array" ref="H1910">SUMPRODUCT(("Var_Cap"=[1]OUT_TransportEnergyCons!$B$4:$B$10000)*1,("-"=[1]OUT_TransportEnergyCons!$C$4:$C$10000)*1,ISNUMBER(SEARCH("T_C*pev*dsl*s3",[1]OUT_TransportEnergyCons!$A$4:$A$10000))*1,[1]OUT_TransportEnergyCons!F$4:F$10000)</f>
        <v>6.6276105352494119E-2</v>
      </c>
      <c r="I1910" s="1" cm="1">
        <f t="array" ref="I1910">SUMPRODUCT(("Var_Cap"=[1]OUT_TransportEnergyCons!$B$4:$B$10000)*1,("-"=[1]OUT_TransportEnergyCons!$C$4:$C$10000)*1,ISNUMBER(SEARCH("T_C*pev*dsl*s3",[1]OUT_TransportEnergyCons!$A$4:$A$10000))*1,[1]OUT_TransportEnergyCons!G$4:G$10000)</f>
        <v>0.25994150969140078</v>
      </c>
      <c r="J1910" s="1" cm="1">
        <f t="array" ref="J1910">SUMPRODUCT(("Var_Cap"=[1]OUT_TransportEnergyCons!$B$4:$B$10000)*1,("-"=[1]OUT_TransportEnergyCons!$C$4:$C$10000)*1,ISNUMBER(SEARCH("T_C*pev*dsl*s3",[1]OUT_TransportEnergyCons!$A$4:$A$10000))*1,[1]OUT_TransportEnergyCons!H$4:H$10000)</f>
        <v>0.33395614743675406</v>
      </c>
      <c r="K1910" s="1" cm="1">
        <f t="array" ref="K1910">SUMPRODUCT(("Var_Cap"=[1]OUT_TransportEnergyCons!$B$4:$B$10000)*1,("-"=[1]OUT_TransportEnergyCons!$C$4:$C$10000)*1,ISNUMBER(SEARCH("T_C*pev*dsl*s3",[1]OUT_TransportEnergyCons!$A$4:$A$10000))*1,[1]OUT_TransportEnergyCons!I$4:I$10000)</f>
        <v>7.2369666253016537E-2</v>
      </c>
    </row>
    <row r="1911" spans="2:11" x14ac:dyDescent="0.35">
      <c r="B1911" s="5" t="str">
        <f t="shared" si="1247"/>
        <v>SPS2</v>
      </c>
      <c r="C1911" s="5" t="str">
        <f t="shared" si="1245"/>
        <v>CH</v>
      </c>
      <c r="D1911" t="s">
        <v>1934</v>
      </c>
      <c r="E1911" t="str">
        <f t="shared" si="1246"/>
        <v>Million</v>
      </c>
      <c r="F1911" s="1" cm="1">
        <f t="array" ref="F1911">SUMPRODUCT(("Var_Cap"=[1]OUT_TransportEnergyCons!$B$4:$B$10000)*1,("-"=[1]OUT_TransportEnergyCons!$C$4:$C$10000)*1,ISNUMBER(SEARCH("T_C*pev*dsl*s4",[1]OUT_TransportEnergyCons!$A$4:$A$10000))*1,[1]OUT_TransportEnergyCons!D$4:D$10000)</f>
        <v>2.5895800898451755E-4</v>
      </c>
      <c r="G1911" s="1" cm="1">
        <f t="array" ref="G1911">SUMPRODUCT(("Var_Cap"=[1]OUT_TransportEnergyCons!$B$4:$B$10000)*1,("-"=[1]OUT_TransportEnergyCons!$C$4:$C$10000)*1,ISNUMBER(SEARCH("T_C*pev*dsl*s4",[1]OUT_TransportEnergyCons!$A$4:$A$10000))*1,[1]OUT_TransportEnergyCons!E$4:E$10000)</f>
        <v>1.1711176616166854E-3</v>
      </c>
      <c r="H1911" s="1" cm="1">
        <f t="array" ref="H1911">SUMPRODUCT(("Var_Cap"=[1]OUT_TransportEnergyCons!$B$4:$B$10000)*1,("-"=[1]OUT_TransportEnergyCons!$C$4:$C$10000)*1,ISNUMBER(SEARCH("T_C*pev*dsl*s4",[1]OUT_TransportEnergyCons!$A$4:$A$10000))*1,[1]OUT_TransportEnergyCons!F$4:F$10000)</f>
        <v>1.8154725062656956E-3</v>
      </c>
      <c r="I1911" s="1" cm="1">
        <f t="array" ref="I1911">SUMPRODUCT(("Var_Cap"=[1]OUT_TransportEnergyCons!$B$4:$B$10000)*1,("-"=[1]OUT_TransportEnergyCons!$C$4:$C$10000)*1,ISNUMBER(SEARCH("T_C*pev*dsl*s4",[1]OUT_TransportEnergyCons!$A$4:$A$10000))*1,[1]OUT_TransportEnergyCons!G$4:G$10000)</f>
        <v>2.2772698909500058E-3</v>
      </c>
      <c r="J1911" s="1" cm="1">
        <f t="array" ref="J1911">SUMPRODUCT(("Var_Cap"=[1]OUT_TransportEnergyCons!$B$4:$B$10000)*1,("-"=[1]OUT_TransportEnergyCons!$C$4:$C$10000)*1,ISNUMBER(SEARCH("T_C*pev*dsl*s4",[1]OUT_TransportEnergyCons!$A$4:$A$10000))*1,[1]OUT_TransportEnergyCons!H$4:H$10000)</f>
        <v>2.2126993058660103E-3</v>
      </c>
      <c r="K1911" s="1" cm="1">
        <f t="array" ref="K1911">SUMPRODUCT(("Var_Cap"=[1]OUT_TransportEnergyCons!$B$4:$B$10000)*1,("-"=[1]OUT_TransportEnergyCons!$C$4:$C$10000)*1,ISNUMBER(SEARCH("T_C*pev*dsl*s4",[1]OUT_TransportEnergyCons!$A$4:$A$10000))*1,[1]OUT_TransportEnergyCons!I$4:I$10000)</f>
        <v>5.3799794351519481E-4</v>
      </c>
    </row>
    <row r="1912" spans="2:11" x14ac:dyDescent="0.35">
      <c r="B1912" s="5" t="str">
        <f t="shared" si="1247"/>
        <v>SPS2</v>
      </c>
      <c r="C1912" s="5" t="str">
        <f t="shared" si="1245"/>
        <v>CH</v>
      </c>
      <c r="D1912" t="s">
        <v>1935</v>
      </c>
      <c r="E1912" t="str">
        <f t="shared" si="1246"/>
        <v>Million</v>
      </c>
      <c r="F1912" s="1" cm="1">
        <f t="array" ref="F1912">SUMPRODUCT(("Var_Cap"=[1]OUT_TransportEnergyCons!$B$4:$B$10000)*1,("-"=[1]OUT_TransportEnergyCons!$C$4:$C$10000)*1,ISNUMBER(SEARCH("T_C*h2o*s1",[1]OUT_TransportEnergyCons!$A$4:$A$10000))*1,[1]OUT_TransportEnergyCons!D$4:D$10000)</f>
        <v>0</v>
      </c>
      <c r="G1912" s="1" cm="1">
        <f t="array" ref="G1912">SUMPRODUCT(("Var_Cap"=[1]OUT_TransportEnergyCons!$B$4:$B$10000)*1,("-"=[1]OUT_TransportEnergyCons!$C$4:$C$10000)*1,ISNUMBER(SEARCH("T_C*h2o*s1",[1]OUT_TransportEnergyCons!$A$4:$A$10000))*1,[1]OUT_TransportEnergyCons!E$4:E$10000)</f>
        <v>9.6106453302626207E-6</v>
      </c>
      <c r="H1912" s="1" cm="1">
        <f t="array" ref="H1912">SUMPRODUCT(("Var_Cap"=[1]OUT_TransportEnergyCons!$B$4:$B$10000)*1,("-"=[1]OUT_TransportEnergyCons!$C$4:$C$10000)*1,ISNUMBER(SEARCH("T_C*h2o*s1",[1]OUT_TransportEnergyCons!$A$4:$A$10000))*1,[1]OUT_TransportEnergyCons!F$4:F$10000)</f>
        <v>1.3144499988167464E-5</v>
      </c>
      <c r="I1912" s="1" cm="1">
        <f t="array" ref="I1912">SUMPRODUCT(("Var_Cap"=[1]OUT_TransportEnergyCons!$B$4:$B$10000)*1,("-"=[1]OUT_TransportEnergyCons!$C$4:$C$10000)*1,ISNUMBER(SEARCH("T_C*h2o*s1",[1]OUT_TransportEnergyCons!$A$4:$A$10000))*1,[1]OUT_TransportEnergyCons!G$4:G$10000)</f>
        <v>3.5938305865538596E-6</v>
      </c>
      <c r="J1912" s="1" cm="1">
        <f t="array" ref="J1912">SUMPRODUCT(("Var_Cap"=[1]OUT_TransportEnergyCons!$B$4:$B$10000)*1,("-"=[1]OUT_TransportEnergyCons!$C$4:$C$10000)*1,ISNUMBER(SEARCH("T_C*h2o*s1",[1]OUT_TransportEnergyCons!$A$4:$A$10000))*1,[1]OUT_TransportEnergyCons!H$4:H$10000)</f>
        <v>5.8408790869875676E-6</v>
      </c>
      <c r="K1912" s="1" cm="1">
        <f t="array" ref="K1912">SUMPRODUCT(("Var_Cap"=[1]OUT_TransportEnergyCons!$B$4:$B$10000)*1,("-"=[1]OUT_TransportEnergyCons!$C$4:$C$10000)*1,ISNUMBER(SEARCH("T_C*h2o*s1",[1]OUT_TransportEnergyCons!$A$4:$A$10000))*1,[1]OUT_TransportEnergyCons!I$4:I$10000)</f>
        <v>5.0483225525839768E-6</v>
      </c>
    </row>
    <row r="1913" spans="2:11" x14ac:dyDescent="0.35">
      <c r="B1913" s="5" t="str">
        <f t="shared" si="1247"/>
        <v>SPS2</v>
      </c>
      <c r="C1913" s="5" t="str">
        <f t="shared" si="1245"/>
        <v>CH</v>
      </c>
      <c r="D1913" t="s">
        <v>1936</v>
      </c>
      <c r="E1913" t="str">
        <f t="shared" si="1246"/>
        <v>Million</v>
      </c>
      <c r="F1913" s="1" cm="1">
        <f t="array" ref="F1913">SUMPRODUCT(("Var_Cap"=[1]OUT_TransportEnergyCons!$B$4:$B$10000)*1,("-"=[1]OUT_TransportEnergyCons!$C$4:$C$10000)*1,ISNUMBER(SEARCH("T_C*h2o*s2",[1]OUT_TransportEnergyCons!$A$4:$A$10000))*1,[1]OUT_TransportEnergyCons!D$4:D$10000)</f>
        <v>6.3211050024023843E-6</v>
      </c>
      <c r="G1913" s="1" cm="1">
        <f t="array" ref="G1913">SUMPRODUCT(("Var_Cap"=[1]OUT_TransportEnergyCons!$B$4:$B$10000)*1,("-"=[1]OUT_TransportEnergyCons!$C$4:$C$10000)*1,ISNUMBER(SEARCH("T_C*h2o*s2",[1]OUT_TransportEnergyCons!$A$4:$A$10000))*1,[1]OUT_TransportEnergyCons!E$4:E$10000)</f>
        <v>1.0262017623366372E-5</v>
      </c>
      <c r="H1913" s="1" cm="1">
        <f t="array" ref="H1913">SUMPRODUCT(("Var_Cap"=[1]OUT_TransportEnergyCons!$B$4:$B$10000)*1,("-"=[1]OUT_TransportEnergyCons!$C$4:$C$10000)*1,ISNUMBER(SEARCH("T_C*h2o*s2",[1]OUT_TransportEnergyCons!$A$4:$A$10000))*1,[1]OUT_TransportEnergyCons!F$4:F$10000)</f>
        <v>1.3430138114596744E-5</v>
      </c>
      <c r="I1913" s="1" cm="1">
        <f t="array" ref="I1913">SUMPRODUCT(("Var_Cap"=[1]OUT_TransportEnergyCons!$B$4:$B$10000)*1,("-"=[1]OUT_TransportEnergyCons!$C$4:$C$10000)*1,ISNUMBER(SEARCH("T_C*h2o*s2",[1]OUT_TransportEnergyCons!$A$4:$A$10000))*1,[1]OUT_TransportEnergyCons!G$4:G$10000)</f>
        <v>5.3707383176591086E-6</v>
      </c>
      <c r="J1913" s="1" cm="1">
        <f t="array" ref="J1913">SUMPRODUCT(("Var_Cap"=[1]OUT_TransportEnergyCons!$B$4:$B$10000)*1,("-"=[1]OUT_TransportEnergyCons!$C$4:$C$10000)*1,ISNUMBER(SEARCH("T_C*h2o*s2",[1]OUT_TransportEnergyCons!$A$4:$A$10000))*1,[1]OUT_TransportEnergyCons!H$4:H$10000)</f>
        <v>5.2114409766301622E-6</v>
      </c>
      <c r="K1913" s="1" cm="1">
        <f t="array" ref="K1913">SUMPRODUCT(("Var_Cap"=[1]OUT_TransportEnergyCons!$B$4:$B$10000)*1,("-"=[1]OUT_TransportEnergyCons!$C$4:$C$10000)*1,ISNUMBER(SEARCH("T_C*h2o*s2",[1]OUT_TransportEnergyCons!$A$4:$A$10000))*1,[1]OUT_TransportEnergyCons!I$4:I$10000)</f>
        <v>4.9458123290925607E-6</v>
      </c>
    </row>
    <row r="1914" spans="2:11" x14ac:dyDescent="0.35">
      <c r="B1914" s="5" t="str">
        <f t="shared" si="1247"/>
        <v>SPS2</v>
      </c>
      <c r="C1914" s="5" t="str">
        <f t="shared" si="1245"/>
        <v>CH</v>
      </c>
      <c r="D1914" t="s">
        <v>1937</v>
      </c>
      <c r="E1914" t="str">
        <f t="shared" si="1246"/>
        <v>Million</v>
      </c>
      <c r="F1914" s="1" cm="1">
        <f t="array" ref="F1914">SUMPRODUCT(("Var_Cap"=[1]OUT_TransportEnergyCons!$B$4:$B$10000)*1,("-"=[1]OUT_TransportEnergyCons!$C$4:$C$10000)*1,ISNUMBER(SEARCH("T_C*h2o*s3",[1]OUT_TransportEnergyCons!$A$4:$A$10000))*1,[1]OUT_TransportEnergyCons!D$4:D$10000)</f>
        <v>5.3627917021166861E-5</v>
      </c>
      <c r="G1914" s="1" cm="1">
        <f t="array" ref="G1914">SUMPRODUCT(("Var_Cap"=[1]OUT_TransportEnergyCons!$B$4:$B$10000)*1,("-"=[1]OUT_TransportEnergyCons!$C$4:$C$10000)*1,ISNUMBER(SEARCH("T_C*h2o*s3",[1]OUT_TransportEnergyCons!$A$4:$A$10000))*1,[1]OUT_TransportEnergyCons!E$4:E$10000)</f>
        <v>1.1118888488044261E-4</v>
      </c>
      <c r="H1914" s="1" cm="1">
        <f t="array" ref="H1914">SUMPRODUCT(("Var_Cap"=[1]OUT_TransportEnergyCons!$B$4:$B$10000)*1,("-"=[1]OUT_TransportEnergyCons!$C$4:$C$10000)*1,ISNUMBER(SEARCH("T_C*h2o*s3",[1]OUT_TransportEnergyCons!$A$4:$A$10000))*1,[1]OUT_TransportEnergyCons!F$4:F$10000)</f>
        <v>1.0804089601037726E-4</v>
      </c>
      <c r="I1914" s="1" cm="1">
        <f t="array" ref="I1914">SUMPRODUCT(("Var_Cap"=[1]OUT_TransportEnergyCons!$B$4:$B$10000)*1,("-"=[1]OUT_TransportEnergyCons!$C$4:$C$10000)*1,ISNUMBER(SEARCH("T_C*h2o*s3",[1]OUT_TransportEnergyCons!$A$4:$A$10000))*1,[1]OUT_TransportEnergyCons!G$4:G$10000)</f>
        <v>8.099758380373601E-6</v>
      </c>
      <c r="J1914" s="1" cm="1">
        <f t="array" ref="J1914">SUMPRODUCT(("Var_Cap"=[1]OUT_TransportEnergyCons!$B$4:$B$10000)*1,("-"=[1]OUT_TransportEnergyCons!$C$4:$C$10000)*1,ISNUMBER(SEARCH("T_C*h2o*s3",[1]OUT_TransportEnergyCons!$A$4:$A$10000))*1,[1]OUT_TransportEnergyCons!H$4:H$10000)</f>
        <v>4.2975829861978331E-6</v>
      </c>
      <c r="K1914" s="1" cm="1">
        <f t="array" ref="K1914">SUMPRODUCT(("Var_Cap"=[1]OUT_TransportEnergyCons!$B$4:$B$10000)*1,("-"=[1]OUT_TransportEnergyCons!$C$4:$C$10000)*1,ISNUMBER(SEARCH("T_C*h2o*s3",[1]OUT_TransportEnergyCons!$A$4:$A$10000))*1,[1]OUT_TransportEnergyCons!I$4:I$10000)</f>
        <v>4.6155091604739796E-6</v>
      </c>
    </row>
    <row r="1915" spans="2:11" x14ac:dyDescent="0.35">
      <c r="B1915" s="5" t="str">
        <f t="shared" si="1247"/>
        <v>SPS2</v>
      </c>
      <c r="C1915" s="5" t="str">
        <f t="shared" si="1245"/>
        <v>CH</v>
      </c>
      <c r="D1915" t="s">
        <v>1938</v>
      </c>
      <c r="E1915" t="str">
        <f t="shared" si="1246"/>
        <v>Million</v>
      </c>
      <c r="F1915" s="1" cm="1">
        <f t="array" ref="F1915">SUMPRODUCT(("Var_Cap"=[1]OUT_TransportEnergyCons!$B$4:$B$10000)*1,("-"=[1]OUT_TransportEnergyCons!$C$4:$C$10000)*1,ISNUMBER(SEARCH("T_C*h2o*s4",[1]OUT_TransportEnergyCons!$A$4:$A$10000))*1,[1]OUT_TransportEnergyCons!D$4:D$10000)</f>
        <v>0</v>
      </c>
      <c r="G1915" s="1" cm="1">
        <f t="array" ref="G1915">SUMPRODUCT(("Var_Cap"=[1]OUT_TransportEnergyCons!$B$4:$B$10000)*1,("-"=[1]OUT_TransportEnergyCons!$C$4:$C$10000)*1,ISNUMBER(SEARCH("T_C*h2o*s4",[1]OUT_TransportEnergyCons!$A$4:$A$10000))*1,[1]OUT_TransportEnergyCons!E$4:E$10000)</f>
        <v>4.4158247059227504E-6</v>
      </c>
      <c r="H1915" s="1" cm="1">
        <f t="array" ref="H1915">SUMPRODUCT(("Var_Cap"=[1]OUT_TransportEnergyCons!$B$4:$B$10000)*1,("-"=[1]OUT_TransportEnergyCons!$C$4:$C$10000)*1,ISNUMBER(SEARCH("T_C*h2o*s4",[1]OUT_TransportEnergyCons!$A$4:$A$10000))*1,[1]OUT_TransportEnergyCons!F$4:F$10000)</f>
        <v>7.3442311604404583E-6</v>
      </c>
      <c r="I1915" s="1" cm="1">
        <f t="array" ref="I1915">SUMPRODUCT(("Var_Cap"=[1]OUT_TransportEnergyCons!$B$4:$B$10000)*1,("-"=[1]OUT_TransportEnergyCons!$C$4:$C$10000)*1,ISNUMBER(SEARCH("T_C*h2o*s4",[1]OUT_TransportEnergyCons!$A$4:$A$10000))*1,[1]OUT_TransportEnergyCons!G$4:G$10000)</f>
        <v>4.0285429599654203E-6</v>
      </c>
      <c r="J1915" s="1" cm="1">
        <f t="array" ref="J1915">SUMPRODUCT(("Var_Cap"=[1]OUT_TransportEnergyCons!$B$4:$B$10000)*1,("-"=[1]OUT_TransportEnergyCons!$C$4:$C$10000)*1,ISNUMBER(SEARCH("T_C*h2o*s4",[1]OUT_TransportEnergyCons!$A$4:$A$10000))*1,[1]OUT_TransportEnergyCons!H$4:H$10000)</f>
        <v>5.246199972700399E-6</v>
      </c>
      <c r="K1915" s="1" cm="1">
        <f t="array" ref="K1915">SUMPRODUCT(("Var_Cap"=[1]OUT_TransportEnergyCons!$B$4:$B$10000)*1,("-"=[1]OUT_TransportEnergyCons!$C$4:$C$10000)*1,ISNUMBER(SEARCH("T_C*h2o*s4",[1]OUT_TransportEnergyCons!$A$4:$A$10000))*1,[1]OUT_TransportEnergyCons!I$4:I$10000)</f>
        <v>5.5248375365852225E-6</v>
      </c>
    </row>
    <row r="1916" spans="2:11" x14ac:dyDescent="0.35">
      <c r="B1916" s="5" t="str">
        <f t="shared" si="1247"/>
        <v>SPS2</v>
      </c>
      <c r="C1916" s="5" t="str">
        <f t="shared" si="1245"/>
        <v>CH</v>
      </c>
      <c r="D1916" t="s">
        <v>1939</v>
      </c>
      <c r="E1916" t="str">
        <f t="shared" si="1246"/>
        <v>Million</v>
      </c>
      <c r="F1916" s="1" cm="1">
        <f t="array" ref="F1916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16" s="1" cm="1">
        <f t="array" ref="G1916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16" s="1" cm="1">
        <f t="array" ref="H1916">SUMPRODUCT(("Var_Cap"=[1]OUT_TransportEnergyCons!$B$4:$B$10000)*1,("-"=[1]OUT_TransportEnergyCons!$C$4:$C$10000)*1,ISNUMBER(SEARCH("T_C*hy*GSL*ext",[1]OUT_TransportEnergyCons!$A$4:$A$10000))*1,[1]OUT_TransportEnergyCons!F$4:F$10000)</f>
        <v>4.3894569044278887E-2</v>
      </c>
      <c r="I1916" s="1" cm="1">
        <f t="array" ref="I1916">SUMPRODUCT(("Var_Cap"=[1]OUT_TransportEnergyCons!$B$4:$B$10000)*1,("-"=[1]OUT_TransportEnergyCons!$C$4:$C$10000)*1,ISNUMBER(SEARCH("T_C*hy*GSL*ext",[1]OUT_TransportEnergyCons!$A$4:$A$10000))*1,[1]OUT_TransportEnergyCons!G$4:G$10000)</f>
        <v>2.1947300243252619E-2</v>
      </c>
      <c r="J1916" s="1" cm="1">
        <f t="array" ref="J1916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16" s="1" cm="1">
        <f t="array" ref="K1916">SUMPRODUCT(("Var_Cap"=[1]OUT_TransportEnergyCons!$B$4:$B$10000)*1,("-"=[1]OUT_TransportEnergyCons!$C$4:$C$10000)*1,ISNUMBER(SEARCH("T_C*hy*GSL*ext",[1]OUT_TransportEnergyCons!$A$4:$A$10000))*1,[1]OUT_TransportEnergyCons!I$4:I$10000)</f>
        <v>0</v>
      </c>
    </row>
    <row r="1917" spans="2:11" x14ac:dyDescent="0.35">
      <c r="B1917" s="5" t="str">
        <f t="shared" si="1247"/>
        <v>SPS2</v>
      </c>
      <c r="C1917" s="5" t="str">
        <f t="shared" si="1245"/>
        <v>CH</v>
      </c>
      <c r="D1917" t="s">
        <v>1940</v>
      </c>
      <c r="E1917" t="str">
        <f t="shared" si="1246"/>
        <v>Million</v>
      </c>
      <c r="F1917" s="1" cm="1">
        <f t="array" ref="F1917">SUMPRODUCT(("Var_Cap"=[1]OUT_TransportEnergyCons!$B$4:$B$10000)*1,("-"=[1]OUT_TransportEnergyCons!$C$4:$C$10000)*1,ISNUMBER(SEARCH("T_C*hy*GSL*s1",[1]OUT_TransportEnergyCons!$A$4:$A$10000))*1,[1]OUT_TransportEnergyCons!D$4:D$10000)</f>
        <v>5.6681056066955069E-3</v>
      </c>
      <c r="G1917" s="1" cm="1">
        <f t="array" ref="G1917">SUMPRODUCT(("Var_Cap"=[1]OUT_TransportEnergyCons!$B$4:$B$10000)*1,("-"=[1]OUT_TransportEnergyCons!$C$4:$C$10000)*1,ISNUMBER(SEARCH("T_C*hy*GSL*s1",[1]OUT_TransportEnergyCons!$A$4:$A$10000))*1,[1]OUT_TransportEnergyCons!E$4:E$10000)</f>
        <v>7.1165204010833222E-3</v>
      </c>
      <c r="H1917" s="1" cm="1">
        <f t="array" ref="H1917">SUMPRODUCT(("Var_Cap"=[1]OUT_TransportEnergyCons!$B$4:$B$10000)*1,("-"=[1]OUT_TransportEnergyCons!$C$4:$C$10000)*1,ISNUMBER(SEARCH("T_C*hy*GSL*s1",[1]OUT_TransportEnergyCons!$A$4:$A$10000))*1,[1]OUT_TransportEnergyCons!F$4:F$10000)</f>
        <v>7.2451230633271317E-3</v>
      </c>
      <c r="I1917" s="1" cm="1">
        <f t="array" ref="I1917">SUMPRODUCT(("Var_Cap"=[1]OUT_TransportEnergyCons!$B$4:$B$10000)*1,("-"=[1]OUT_TransportEnergyCons!$C$4:$C$10000)*1,ISNUMBER(SEARCH("T_C*hy*GSL*s1",[1]OUT_TransportEnergyCons!$A$4:$A$10000))*1,[1]OUT_TransportEnergyCons!G$4:G$10000)</f>
        <v>5.9635200316085447E-3</v>
      </c>
      <c r="J1917" s="1" cm="1">
        <f t="array" ref="J1917">SUMPRODUCT(("Var_Cap"=[1]OUT_TransportEnergyCons!$B$4:$B$10000)*1,("-"=[1]OUT_TransportEnergyCons!$C$4:$C$10000)*1,ISNUMBER(SEARCH("T_C*hy*GSL*s1",[1]OUT_TransportEnergyCons!$A$4:$A$10000))*1,[1]OUT_TransportEnergyCons!H$4:H$10000)</f>
        <v>9.3354922519908094E-5</v>
      </c>
      <c r="K1917" s="1" cm="1">
        <f t="array" ref="K1917">SUMPRODUCT(("Var_Cap"=[1]OUT_TransportEnergyCons!$B$4:$B$10000)*1,("-"=[1]OUT_TransportEnergyCons!$C$4:$C$10000)*1,ISNUMBER(SEARCH("T_C*hy*GSL*s1",[1]OUT_TransportEnergyCons!$A$4:$A$10000))*1,[1]OUT_TransportEnergyCons!I$4:I$10000)</f>
        <v>0</v>
      </c>
    </row>
    <row r="1918" spans="2:11" x14ac:dyDescent="0.35">
      <c r="B1918" s="5" t="str">
        <f t="shared" si="1247"/>
        <v>SPS2</v>
      </c>
      <c r="C1918" s="5" t="str">
        <f t="shared" si="1245"/>
        <v>CH</v>
      </c>
      <c r="D1918" t="s">
        <v>1941</v>
      </c>
      <c r="E1918" t="str">
        <f t="shared" si="1246"/>
        <v>Million</v>
      </c>
      <c r="F1918" s="1" cm="1">
        <f t="array" ref="F1918">SUMPRODUCT(("Var_Cap"=[1]OUT_TransportEnergyCons!$B$4:$B$10000)*1,("-"=[1]OUT_TransportEnergyCons!$C$4:$C$10000)*1,ISNUMBER(SEARCH("T_C*hy*GSL*s2",[1]OUT_TransportEnergyCons!$A$4:$A$10000))*1,[1]OUT_TransportEnergyCons!D$4:D$10000)</f>
        <v>1.7225103801339386E-2</v>
      </c>
      <c r="G1918" s="1" cm="1">
        <f t="array" ref="G1918">SUMPRODUCT(("Var_Cap"=[1]OUT_TransportEnergyCons!$B$4:$B$10000)*1,("-"=[1]OUT_TransportEnergyCons!$C$4:$C$10000)*1,ISNUMBER(SEARCH("T_C*hy*GSL*s2",[1]OUT_TransportEnergyCons!$A$4:$A$10000))*1,[1]OUT_TransportEnergyCons!E$4:E$10000)</f>
        <v>4.942948956545308E-2</v>
      </c>
      <c r="H1918" s="1" cm="1">
        <f t="array" ref="H1918">SUMPRODUCT(("Var_Cap"=[1]OUT_TransportEnergyCons!$B$4:$B$10000)*1,("-"=[1]OUT_TransportEnergyCons!$C$4:$C$10000)*1,ISNUMBER(SEARCH("T_C*hy*GSL*s2",[1]OUT_TransportEnergyCons!$A$4:$A$10000))*1,[1]OUT_TransportEnergyCons!F$4:F$10000)</f>
        <v>0.1355376406518512</v>
      </c>
      <c r="I1918" s="1" cm="1">
        <f t="array" ref="I1918">SUMPRODUCT(("Var_Cap"=[1]OUT_TransportEnergyCons!$B$4:$B$10000)*1,("-"=[1]OUT_TransportEnergyCons!$C$4:$C$10000)*1,ISNUMBER(SEARCH("T_C*hy*GSL*s2",[1]OUT_TransportEnergyCons!$A$4:$A$10000))*1,[1]OUT_TransportEnergyCons!G$4:G$10000)</f>
        <v>0.11553693932313633</v>
      </c>
      <c r="J1918" s="1" cm="1">
        <f t="array" ref="J1918">SUMPRODUCT(("Var_Cap"=[1]OUT_TransportEnergyCons!$B$4:$B$10000)*1,("-"=[1]OUT_TransportEnergyCons!$C$4:$C$10000)*1,ISNUMBER(SEARCH("T_C*hy*GSL*s2",[1]OUT_TransportEnergyCons!$A$4:$A$10000))*1,[1]OUT_TransportEnergyCons!H$4:H$10000)</f>
        <v>7.5060143888501249E-3</v>
      </c>
      <c r="K1918" s="1" cm="1">
        <f t="array" ref="K1918">SUMPRODUCT(("Var_Cap"=[1]OUT_TransportEnergyCons!$B$4:$B$10000)*1,("-"=[1]OUT_TransportEnergyCons!$C$4:$C$10000)*1,ISNUMBER(SEARCH("T_C*hy*GSL*s2",[1]OUT_TransportEnergyCons!$A$4:$A$10000))*1,[1]OUT_TransportEnergyCons!I$4:I$10000)</f>
        <v>0</v>
      </c>
    </row>
    <row r="1919" spans="2:11" x14ac:dyDescent="0.35">
      <c r="B1919" s="5" t="str">
        <f t="shared" si="1247"/>
        <v>SPS2</v>
      </c>
      <c r="C1919" s="5" t="str">
        <f t="shared" si="1245"/>
        <v>CH</v>
      </c>
      <c r="D1919" t="s">
        <v>1942</v>
      </c>
      <c r="E1919" t="str">
        <f t="shared" si="1246"/>
        <v>Million</v>
      </c>
      <c r="F1919" s="1" cm="1">
        <f t="array" ref="F1919">SUMPRODUCT(("Var_Cap"=[1]OUT_TransportEnergyCons!$B$4:$B$10000)*1,("-"=[1]OUT_TransportEnergyCons!$C$4:$C$10000)*1,ISNUMBER(SEARCH("T_C*hy*GSL*s3",[1]OUT_TransportEnergyCons!$A$4:$A$10000))*1,[1]OUT_TransportEnergyCons!D$4:D$10000)</f>
        <v>1.4247135744071644E-2</v>
      </c>
      <c r="G1919" s="1" cm="1">
        <f t="array" ref="G1919">SUMPRODUCT(("Var_Cap"=[1]OUT_TransportEnergyCons!$B$4:$B$10000)*1,("-"=[1]OUT_TransportEnergyCons!$C$4:$C$10000)*1,ISNUMBER(SEARCH("T_C*hy*GSL*s3",[1]OUT_TransportEnergyCons!$A$4:$A$10000))*1,[1]OUT_TransportEnergyCons!E$4:E$10000)</f>
        <v>0.19610393875604004</v>
      </c>
      <c r="H1919" s="1" cm="1">
        <f t="array" ref="H1919">SUMPRODUCT(("Var_Cap"=[1]OUT_TransportEnergyCons!$B$4:$B$10000)*1,("-"=[1]OUT_TransportEnergyCons!$C$4:$C$10000)*1,ISNUMBER(SEARCH("T_C*hy*GSL*s3",[1]OUT_TransportEnergyCons!$A$4:$A$10000))*1,[1]OUT_TransportEnergyCons!F$4:F$10000)</f>
        <v>0.1854742765079174</v>
      </c>
      <c r="I1919" s="1" cm="1">
        <f t="array" ref="I1919">SUMPRODUCT(("Var_Cap"=[1]OUT_TransportEnergyCons!$B$4:$B$10000)*1,("-"=[1]OUT_TransportEnergyCons!$C$4:$C$10000)*1,ISNUMBER(SEARCH("T_C*hy*GSL*s3",[1]OUT_TransportEnergyCons!$A$4:$A$10000))*1,[1]OUT_TransportEnergyCons!G$4:G$10000)</f>
        <v>0.14939948325580457</v>
      </c>
      <c r="J1919" s="1" cm="1">
        <f t="array" ref="J1919">SUMPRODUCT(("Var_Cap"=[1]OUT_TransportEnergyCons!$B$4:$B$10000)*1,("-"=[1]OUT_TransportEnergyCons!$C$4:$C$10000)*1,ISNUMBER(SEARCH("T_C*hy*GSL*s3",[1]OUT_TransportEnergyCons!$A$4:$A$10000))*1,[1]OUT_TransportEnergyCons!H$4:H$10000)</f>
        <v>3.6365408108111258E-5</v>
      </c>
      <c r="K1919" s="1" cm="1">
        <f t="array" ref="K1919">SUMPRODUCT(("Var_Cap"=[1]OUT_TransportEnergyCons!$B$4:$B$10000)*1,("-"=[1]OUT_TransportEnergyCons!$C$4:$C$10000)*1,ISNUMBER(SEARCH("T_C*hy*GSL*s3",[1]OUT_TransportEnergyCons!$A$4:$A$10000))*1,[1]OUT_TransportEnergyCons!I$4:I$10000)</f>
        <v>0</v>
      </c>
    </row>
    <row r="1920" spans="2:11" x14ac:dyDescent="0.35">
      <c r="B1920" s="5" t="str">
        <f t="shared" si="1247"/>
        <v>SPS2</v>
      </c>
      <c r="C1920" s="5" t="str">
        <f t="shared" si="1245"/>
        <v>CH</v>
      </c>
      <c r="D1920" t="s">
        <v>1943</v>
      </c>
      <c r="E1920" t="str">
        <f t="shared" si="1246"/>
        <v>Million</v>
      </c>
      <c r="F1920" s="1" cm="1">
        <f t="array" ref="F1920">SUMPRODUCT(("Var_Cap"=[1]OUT_TransportEnergyCons!$B$4:$B$10000)*1,("-"=[1]OUT_TransportEnergyCons!$C$4:$C$10000)*1,ISNUMBER(SEARCH("T_C*hy*GSL*s4",[1]OUT_TransportEnergyCons!$A$4:$A$10000))*1,[1]OUT_TransportEnergyCons!D$4:D$10000)</f>
        <v>8.318921790104114E-3</v>
      </c>
      <c r="G1920" s="1" cm="1">
        <f t="array" ref="G1920">SUMPRODUCT(("Var_Cap"=[1]OUT_TransportEnergyCons!$B$4:$B$10000)*1,("-"=[1]OUT_TransportEnergyCons!$C$4:$C$10000)*1,ISNUMBER(SEARCH("T_C*hy*GSL*s4",[1]OUT_TransportEnergyCons!$A$4:$A$10000))*1,[1]OUT_TransportEnergyCons!E$4:E$10000)</f>
        <v>1.443417062628668E-2</v>
      </c>
      <c r="H1920" s="1" cm="1">
        <f t="array" ref="H1920">SUMPRODUCT(("Var_Cap"=[1]OUT_TransportEnergyCons!$B$4:$B$10000)*1,("-"=[1]OUT_TransportEnergyCons!$C$4:$C$10000)*1,ISNUMBER(SEARCH("T_C*hy*GSL*s4",[1]OUT_TransportEnergyCons!$A$4:$A$10000))*1,[1]OUT_TransportEnergyCons!F$4:F$10000)</f>
        <v>1.4041830797453287E-2</v>
      </c>
      <c r="I1920" s="1" cm="1">
        <f t="array" ref="I1920">SUMPRODUCT(("Var_Cap"=[1]OUT_TransportEnergyCons!$B$4:$B$10000)*1,("-"=[1]OUT_TransportEnergyCons!$C$4:$C$10000)*1,ISNUMBER(SEARCH("T_C*hy*GSL*s4",[1]OUT_TransportEnergyCons!$A$4:$A$10000))*1,[1]OUT_TransportEnergyCons!G$4:G$10000)</f>
        <v>1.1804491107728085E-2</v>
      </c>
      <c r="J1920" s="1" cm="1">
        <f t="array" ref="J1920">SUMPRODUCT(("Var_Cap"=[1]OUT_TransportEnergyCons!$B$4:$B$10000)*1,("-"=[1]OUT_TransportEnergyCons!$C$4:$C$10000)*1,ISNUMBER(SEARCH("T_C*hy*GSL*s4",[1]OUT_TransportEnergyCons!$A$4:$A$10000))*1,[1]OUT_TransportEnergyCons!H$4:H$10000)</f>
        <v>4.2839580001384907E-5</v>
      </c>
      <c r="K1920" s="1" cm="1">
        <f t="array" ref="K1920">SUMPRODUCT(("Var_Cap"=[1]OUT_TransportEnergyCons!$B$4:$B$10000)*1,("-"=[1]OUT_TransportEnergyCons!$C$4:$C$10000)*1,ISNUMBER(SEARCH("T_C*hy*GSL*s4",[1]OUT_TransportEnergyCons!$A$4:$A$10000))*1,[1]OUT_TransportEnergyCons!I$4:I$10000)</f>
        <v>0</v>
      </c>
    </row>
    <row r="1921" spans="2:11" x14ac:dyDescent="0.35">
      <c r="B1921" s="5" t="str">
        <f t="shared" si="1247"/>
        <v>SPS2</v>
      </c>
      <c r="C1921" s="5" t="str">
        <f t="shared" si="1245"/>
        <v>CH</v>
      </c>
      <c r="D1921" t="s">
        <v>1944</v>
      </c>
      <c r="E1921" t="str">
        <f t="shared" si="1246"/>
        <v>Million</v>
      </c>
      <c r="F1921" s="1" cm="1">
        <f t="array" ref="F1921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1" s="1" cm="1">
        <f t="array" ref="G1921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1" s="1" cm="1">
        <f t="array" ref="H1921">SUMPRODUCT(("Var_Cap"=[1]OUT_TransportEnergyCons!$B$4:$B$10000)*1,("-"=[1]OUT_TransportEnergyCons!$C$4:$C$10000)*1,ISNUMBER(SEARCH("T_C*ICE*GSL*ext",[1]OUT_TransportEnergyCons!$A$4:$A$10000))*1,[1]OUT_TransportEnergyCons!F$4:F$10000)</f>
        <v>1.6628846331711309</v>
      </c>
      <c r="I1921" s="1" cm="1">
        <f t="array" ref="I1921">SUMPRODUCT(("Var_Cap"=[1]OUT_TransportEnergyCons!$B$4:$B$10000)*1,("-"=[1]OUT_TransportEnergyCons!$C$4:$C$10000)*1,ISNUMBER(SEARCH("T_C*ICE*GSL*ext",[1]OUT_TransportEnergyCons!$A$4:$A$10000))*1,[1]OUT_TransportEnergyCons!G$4:G$10000)</f>
        <v>0.83143683321700501</v>
      </c>
      <c r="J1921" s="1" cm="1">
        <f t="array" ref="J1921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SUMPRODUCT(("Var_Cap"=[1]OUT_TransportEnergyCons!$B$4:$B$10000)*1,("-"=[1]OUT_TransportEnergyCons!$C$4:$C$10000)*1,ISNUMBER(SEARCH("T_C*ICE*GSL*ext",[1]OUT_TransportEnergyCons!$A$4:$A$10000))*1,[1]OUT_TransportEnergyCons!I$4:I$10000)</f>
        <v>0</v>
      </c>
    </row>
    <row r="1922" spans="2:11" x14ac:dyDescent="0.35">
      <c r="B1922" s="5" t="str">
        <f t="shared" si="1247"/>
        <v>SPS2</v>
      </c>
      <c r="C1922" s="5" t="str">
        <f t="shared" si="1245"/>
        <v>CH</v>
      </c>
      <c r="D1922" t="s">
        <v>1945</v>
      </c>
      <c r="E1922" t="str">
        <f t="shared" si="1246"/>
        <v>Million</v>
      </c>
      <c r="F1922" s="1" cm="1">
        <f t="array" ref="F1922">SUMPRODUCT(("Var_Cap"=[1]OUT_TransportEnergyCons!$B$4:$B$10000)*1,("-"=[1]OUT_TransportEnergyCons!$C$4:$C$10000)*1,ISNUMBER(SEARCH("T_C*ICE*GSL*s1",[1]OUT_TransportEnergyCons!$A$4:$A$10000))*1,[1]OUT_TransportEnergyCons!D$4:D$10000)</f>
        <v>3.6540013496652687E-2</v>
      </c>
      <c r="G1922" s="1" cm="1">
        <f t="array" ref="G1922">SUMPRODUCT(("Var_Cap"=[1]OUT_TransportEnergyCons!$B$4:$B$10000)*1,("-"=[1]OUT_TransportEnergyCons!$C$4:$C$10000)*1,ISNUMBER(SEARCH("T_C*ICE*GSL*s1",[1]OUT_TransportEnergyCons!$A$4:$A$10000))*1,[1]OUT_TransportEnergyCons!E$4:E$10000)</f>
        <v>4.0251308107378772E-2</v>
      </c>
      <c r="H1922" s="1" cm="1">
        <f t="array" ref="H1922">SUMPRODUCT(("Var_Cap"=[1]OUT_TransportEnergyCons!$B$4:$B$10000)*1,("-"=[1]OUT_TransportEnergyCons!$C$4:$C$10000)*1,ISNUMBER(SEARCH("T_C*ICE*GSL*s1",[1]OUT_TransportEnergyCons!$A$4:$A$10000))*1,[1]OUT_TransportEnergyCons!F$4:F$10000)</f>
        <v>0.1221337786545918</v>
      </c>
      <c r="I1922" s="1" cm="1">
        <f t="array" ref="I1922">SUMPRODUCT(("Var_Cap"=[1]OUT_TransportEnergyCons!$B$4:$B$10000)*1,("-"=[1]OUT_TransportEnergyCons!$C$4:$C$10000)*1,ISNUMBER(SEARCH("T_C*ICE*GSL*s1",[1]OUT_TransportEnergyCons!$A$4:$A$10000))*1,[1]OUT_TransportEnergyCons!G$4:G$10000)</f>
        <v>0.10297512785003494</v>
      </c>
      <c r="J1922" s="1" cm="1">
        <f t="array" ref="J1922">SUMPRODUCT(("Var_Cap"=[1]OUT_TransportEnergyCons!$B$4:$B$10000)*1,("-"=[1]OUT_TransportEnergyCons!$C$4:$C$10000)*1,ISNUMBER(SEARCH("T_C*ICE*GSL*s1",[1]OUT_TransportEnergyCons!$A$4:$A$10000))*1,[1]OUT_TransportEnergyCons!H$4:H$10000)</f>
        <v>7.0072778958447657E-3</v>
      </c>
      <c r="K1922" s="1" cm="1">
        <f t="array" ref="K1922">SUMPRODUCT(("Var_Cap"=[1]OUT_TransportEnergyCons!$B$4:$B$10000)*1,("-"=[1]OUT_TransportEnergyCons!$C$4:$C$10000)*1,ISNUMBER(SEARCH("T_C*ICE*GSL*s1",[1]OUT_TransportEnergyCons!$A$4:$A$10000))*1,[1]OUT_TransportEnergyCons!I$4:I$10000)</f>
        <v>0</v>
      </c>
    </row>
    <row r="1923" spans="2:11" x14ac:dyDescent="0.35">
      <c r="B1923" s="5" t="str">
        <f t="shared" si="1247"/>
        <v>SPS2</v>
      </c>
      <c r="C1923" s="5" t="str">
        <f t="shared" si="1245"/>
        <v>CH</v>
      </c>
      <c r="D1923" t="s">
        <v>1946</v>
      </c>
      <c r="E1923" t="str">
        <f t="shared" si="1246"/>
        <v>Million</v>
      </c>
      <c r="F1923" s="1" cm="1">
        <f t="array" ref="F1923">SUMPRODUCT(("Var_Cap"=[1]OUT_TransportEnergyCons!$B$4:$B$10000)*1,("-"=[1]OUT_TransportEnergyCons!$C$4:$C$10000)*1,ISNUMBER(SEARCH("T_C*ICE*GSL*s2",[1]OUT_TransportEnergyCons!$A$4:$A$10000))*1,[1]OUT_TransportEnergyCons!D$4:D$10000)</f>
        <v>0.21742638858887936</v>
      </c>
      <c r="G1923" s="1" cm="1">
        <f t="array" ref="G1923">SUMPRODUCT(("Var_Cap"=[1]OUT_TransportEnergyCons!$B$4:$B$10000)*1,("-"=[1]OUT_TransportEnergyCons!$C$4:$C$10000)*1,ISNUMBER(SEARCH("T_C*ICE*GSL*s2",[1]OUT_TransportEnergyCons!$A$4:$A$10000))*1,[1]OUT_TransportEnergyCons!E$4:E$10000)</f>
        <v>0.24349229347993837</v>
      </c>
      <c r="H1923" s="1" cm="1">
        <f t="array" ref="H1923">SUMPRODUCT(("Var_Cap"=[1]OUT_TransportEnergyCons!$B$4:$B$10000)*1,("-"=[1]OUT_TransportEnergyCons!$C$4:$C$10000)*1,ISNUMBER(SEARCH("T_C*ICE*GSL*s2",[1]OUT_TransportEnergyCons!$A$4:$A$10000))*1,[1]OUT_TransportEnergyCons!F$4:F$10000)</f>
        <v>0.36226465768781768</v>
      </c>
      <c r="I1923" s="1" cm="1">
        <f t="array" ref="I1923">SUMPRODUCT(("Var_Cap"=[1]OUT_TransportEnergyCons!$B$4:$B$10000)*1,("-"=[1]OUT_TransportEnergyCons!$C$4:$C$10000)*1,ISNUMBER(SEARCH("T_C*ICE*GSL*s2",[1]OUT_TransportEnergyCons!$A$4:$A$10000))*1,[1]OUT_TransportEnergyCons!G$4:G$10000)</f>
        <v>0.29710712507167447</v>
      </c>
      <c r="J1923" s="1" cm="1">
        <f t="array" ref="J1923">SUMPRODUCT(("Var_Cap"=[1]OUT_TransportEnergyCons!$B$4:$B$10000)*1,("-"=[1]OUT_TransportEnergyCons!$C$4:$C$10000)*1,ISNUMBER(SEARCH("T_C*ICE*GSL*s2",[1]OUT_TransportEnergyCons!$A$4:$A$10000))*1,[1]OUT_TransportEnergyCons!H$4:H$10000)</f>
        <v>1.0347263910050392E-2</v>
      </c>
      <c r="K1923" s="1" cm="1">
        <f t="array" ref="K1923">SUMPRODUCT(("Var_Cap"=[1]OUT_TransportEnergyCons!$B$4:$B$10000)*1,("-"=[1]OUT_TransportEnergyCons!$C$4:$C$10000)*1,ISNUMBER(SEARCH("T_C*ICE*GSL*s2",[1]OUT_TransportEnergyCons!$A$4:$A$10000))*1,[1]OUT_TransportEnergyCons!I$4:I$10000)</f>
        <v>0</v>
      </c>
    </row>
    <row r="1924" spans="2:11" x14ac:dyDescent="0.35">
      <c r="B1924" s="5" t="str">
        <f t="shared" si="1247"/>
        <v>SPS2</v>
      </c>
      <c r="C1924" s="5" t="str">
        <f t="shared" si="1245"/>
        <v>CH</v>
      </c>
      <c r="D1924" t="s">
        <v>1947</v>
      </c>
      <c r="E1924" t="str">
        <f t="shared" si="1246"/>
        <v>Million</v>
      </c>
      <c r="F1924" s="1" cm="1">
        <f t="array" ref="F1924">SUMPRODUCT(("Var_Cap"=[1]OUT_TransportEnergyCons!$B$4:$B$10000)*1,("-"=[1]OUT_TransportEnergyCons!$C$4:$C$10000)*1,ISNUMBER(SEARCH("T_C*ICE*GSL*s3",[1]OUT_TransportEnergyCons!$A$4:$A$10000))*1,[1]OUT_TransportEnergyCons!D$4:D$10000)</f>
        <v>0.18200944679676159</v>
      </c>
      <c r="G1924" s="1" cm="1">
        <f t="array" ref="G1924">SUMPRODUCT(("Var_Cap"=[1]OUT_TransportEnergyCons!$B$4:$B$10000)*1,("-"=[1]OUT_TransportEnergyCons!$C$4:$C$10000)*1,ISNUMBER(SEARCH("T_C*ICE*GSL*s3",[1]OUT_TransportEnergyCons!$A$4:$A$10000))*1,[1]OUT_TransportEnergyCons!E$4:E$10000)</f>
        <v>0.20386103473917572</v>
      </c>
      <c r="H1924" s="1" cm="1">
        <f t="array" ref="H1924">SUMPRODUCT(("Var_Cap"=[1]OUT_TransportEnergyCons!$B$4:$B$10000)*1,("-"=[1]OUT_TransportEnergyCons!$C$4:$C$10000)*1,ISNUMBER(SEARCH("T_C*ICE*GSL*s3",[1]OUT_TransportEnergyCons!$A$4:$A$10000))*1,[1]OUT_TransportEnergyCons!F$4:F$10000)</f>
        <v>0.20138949987694973</v>
      </c>
      <c r="I1924" s="1" cm="1">
        <f t="array" ref="I1924">SUMPRODUCT(("Var_Cap"=[1]OUT_TransportEnergyCons!$B$4:$B$10000)*1,("-"=[1]OUT_TransportEnergyCons!$C$4:$C$10000)*1,ISNUMBER(SEARCH("T_C*ICE*GSL*s3",[1]OUT_TransportEnergyCons!$A$4:$A$10000))*1,[1]OUT_TransportEnergyCons!G$4:G$10000)</f>
        <v>0.16359687565893516</v>
      </c>
      <c r="J1924" s="1" cm="1">
        <f t="array" ref="J1924">SUMPRODUCT(("Var_Cap"=[1]OUT_TransportEnergyCons!$B$4:$B$10000)*1,("-"=[1]OUT_TransportEnergyCons!$C$4:$C$10000)*1,ISNUMBER(SEARCH("T_C*ICE*GSL*s3",[1]OUT_TransportEnergyCons!$A$4:$A$10000))*1,[1]OUT_TransportEnergyCons!H$4:H$10000)</f>
        <v>6.9248646657248363E-5</v>
      </c>
      <c r="K1924" s="1" cm="1">
        <f t="array" ref="K1924">SUMPRODUCT(("Var_Cap"=[1]OUT_TransportEnergyCons!$B$4:$B$10000)*1,("-"=[1]OUT_TransportEnergyCons!$C$4:$C$10000)*1,ISNUMBER(SEARCH("T_C*ICE*GSL*s3",[1]OUT_TransportEnergyCons!$A$4:$A$10000))*1,[1]OUT_TransportEnergyCons!I$4:I$10000)</f>
        <v>0</v>
      </c>
    </row>
    <row r="1925" spans="2:11" x14ac:dyDescent="0.35">
      <c r="B1925" s="5" t="str">
        <f t="shared" si="1247"/>
        <v>SPS2</v>
      </c>
      <c r="C1925" s="5" t="str">
        <f t="shared" si="1245"/>
        <v>CH</v>
      </c>
      <c r="D1925" t="s">
        <v>1948</v>
      </c>
      <c r="E1925" t="str">
        <f t="shared" si="1246"/>
        <v>Million</v>
      </c>
      <c r="F1925" s="1" cm="1">
        <f t="array" ref="F1925">SUMPRODUCT(("Var_Cap"=[1]OUT_TransportEnergyCons!$B$4:$B$10000)*1,("-"=[1]OUT_TransportEnergyCons!$C$4:$C$10000)*1,ISNUMBER(SEARCH("T_C*ICE*GSL*s4",[1]OUT_TransportEnergyCons!$A$4:$A$10000))*1,[1]OUT_TransportEnergyCons!D$4:D$10000)</f>
        <v>0.15707247514555861</v>
      </c>
      <c r="G1925" s="1" cm="1">
        <f t="array" ref="G1925">SUMPRODUCT(("Var_Cap"=[1]OUT_TransportEnergyCons!$B$4:$B$10000)*1,("-"=[1]OUT_TransportEnergyCons!$C$4:$C$10000)*1,ISNUMBER(SEARCH("T_C*ICE*GSL*s4",[1]OUT_TransportEnergyCons!$A$4:$A$10000))*1,[1]OUT_TransportEnergyCons!E$4:E$10000)</f>
        <v>0.179408808741681</v>
      </c>
      <c r="H1925" s="1" cm="1">
        <f t="array" ref="H1925">SUMPRODUCT(("Var_Cap"=[1]OUT_TransportEnergyCons!$B$4:$B$10000)*1,("-"=[1]OUT_TransportEnergyCons!$C$4:$C$10000)*1,ISNUMBER(SEARCH("T_C*ICE*GSL*s4",[1]OUT_TransportEnergyCons!$A$4:$A$10000))*1,[1]OUT_TransportEnergyCons!F$4:F$10000)</f>
        <v>0.26721256233356777</v>
      </c>
      <c r="I1925" s="1" cm="1">
        <f t="array" ref="I1925">SUMPRODUCT(("Var_Cap"=[1]OUT_TransportEnergyCons!$B$4:$B$10000)*1,("-"=[1]OUT_TransportEnergyCons!$C$4:$C$10000)*1,ISNUMBER(SEARCH("T_C*ICE*GSL*s4",[1]OUT_TransportEnergyCons!$A$4:$A$10000))*1,[1]OUT_TransportEnergyCons!G$4:G$10000)</f>
        <v>0.22163044118340469</v>
      </c>
      <c r="J1925" s="1" cm="1">
        <f t="array" ref="J1925">SUMPRODUCT(("Var_Cap"=[1]OUT_TransportEnergyCons!$B$4:$B$10000)*1,("-"=[1]OUT_TransportEnergyCons!$C$4:$C$10000)*1,ISNUMBER(SEARCH("T_C*ICE*GSL*s4",[1]OUT_TransportEnergyCons!$A$4:$A$10000))*1,[1]OUT_TransportEnergyCons!H$4:H$10000)</f>
        <v>7.6912594515802461E-3</v>
      </c>
      <c r="K1925" s="1" cm="1">
        <f t="array" ref="K1925">SUMPRODUCT(("Var_Cap"=[1]OUT_TransportEnergyCons!$B$4:$B$10000)*1,("-"=[1]OUT_TransportEnergyCons!$C$4:$C$10000)*1,ISNUMBER(SEARCH("T_C*ICE*GSL*s4",[1]OUT_TransportEnergyCons!$A$4:$A$10000))*1,[1]OUT_TransportEnergyCons!I$4:I$10000)</f>
        <v>0</v>
      </c>
    </row>
    <row r="1926" spans="2:11" x14ac:dyDescent="0.35">
      <c r="B1926" s="5" t="str">
        <f t="shared" si="1247"/>
        <v>SPS2</v>
      </c>
      <c r="C1926" s="5" t="str">
        <f t="shared" si="1245"/>
        <v>CH</v>
      </c>
      <c r="D1926" t="s">
        <v>1949</v>
      </c>
      <c r="E1926" t="str">
        <f t="shared" si="1246"/>
        <v>Million</v>
      </c>
      <c r="F1926" s="1" cm="1">
        <f t="array" ref="F1926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26" s="1" cm="1">
        <f t="array" ref="G1926">SUMPRODUCT(("Var_Cap"=[1]OUT_TransportEnergyCons!$B$4:$B$10000)*1,("-"=[1]OUT_TransportEnergyCons!$C$4:$C$10000)*1,ISNUMBER(SEARCH("T_C*mhy*GSL*s1",[1]OUT_TransportEnergyCons!$A$4:$A$10000))*1,[1]OUT_TransportEnergyCons!E$4:E$10000)</f>
        <v>6.4531612038107799E-5</v>
      </c>
      <c r="H1926" s="1" cm="1">
        <f t="array" ref="H1926">SUMPRODUCT(("Var_Cap"=[1]OUT_TransportEnergyCons!$B$4:$B$10000)*1,("-"=[1]OUT_TransportEnergyCons!$C$4:$C$10000)*1,ISNUMBER(SEARCH("T_C*mhy*GSL*s1",[1]OUT_TransportEnergyCons!$A$4:$A$10000))*1,[1]OUT_TransportEnergyCons!F$4:F$10000)</f>
        <v>1.5430281484123801E-4</v>
      </c>
      <c r="I1926" s="1" cm="1">
        <f t="array" ref="I1926">SUMPRODUCT(("Var_Cap"=[1]OUT_TransportEnergyCons!$B$4:$B$10000)*1,("-"=[1]OUT_TransportEnergyCons!$C$4:$C$10000)*1,ISNUMBER(SEARCH("T_C*mhy*GSL*s1",[1]OUT_TransportEnergyCons!$A$4:$A$10000))*1,[1]OUT_TransportEnergyCons!G$4:G$10000)</f>
        <v>2.0496749831910499E-4</v>
      </c>
      <c r="J1926" s="1" cm="1">
        <f t="array" ref="J1926">SUMPRODUCT(("Var_Cap"=[1]OUT_TransportEnergyCons!$B$4:$B$10000)*1,("-"=[1]OUT_TransportEnergyCons!$C$4:$C$10000)*1,ISNUMBER(SEARCH("T_C*mhy*GSL*s1",[1]OUT_TransportEnergyCons!$A$4:$A$10000))*1,[1]OUT_TransportEnergyCons!H$4:H$10000)</f>
        <v>3.7786523256818802E-5</v>
      </c>
      <c r="K1926" s="1" cm="1">
        <f t="array" ref="K1926">SUMPRODUCT(("Var_Cap"=[1]OUT_TransportEnergyCons!$B$4:$B$10000)*1,("-"=[1]OUT_TransportEnergyCons!$C$4:$C$10000)*1,ISNUMBER(SEARCH("T_C*mhy*GSL*s1",[1]OUT_TransportEnergyCons!$A$4:$A$10000))*1,[1]OUT_TransportEnergyCons!I$4:I$10000)</f>
        <v>0</v>
      </c>
    </row>
    <row r="1927" spans="2:11" x14ac:dyDescent="0.35">
      <c r="B1927" s="5" t="str">
        <f t="shared" si="1247"/>
        <v>SPS2</v>
      </c>
      <c r="C1927" s="5" t="str">
        <f t="shared" si="1245"/>
        <v>CH</v>
      </c>
      <c r="D1927" t="s">
        <v>1950</v>
      </c>
      <c r="E1927" t="str">
        <f t="shared" si="1246"/>
        <v>Million</v>
      </c>
      <c r="F1927" s="1" cm="1">
        <f t="array" ref="F1927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27" s="1" cm="1">
        <f t="array" ref="G1927">SUMPRODUCT(("Var_Cap"=[1]OUT_TransportEnergyCons!$B$4:$B$10000)*1,("-"=[1]OUT_TransportEnergyCons!$C$4:$C$10000)*1,ISNUMBER(SEARCH("T_C*mhy*GSL*s2",[1]OUT_TransportEnergyCons!$A$4:$A$10000))*1,[1]OUT_TransportEnergyCons!E$4:E$10000)</f>
        <v>2.9337100309730801E-5</v>
      </c>
      <c r="H1927" s="1" cm="1">
        <f t="array" ref="H1927">SUMPRODUCT(("Var_Cap"=[1]OUT_TransportEnergyCons!$B$4:$B$10000)*1,("-"=[1]OUT_TransportEnergyCons!$C$4:$C$10000)*1,ISNUMBER(SEARCH("T_C*mhy*GSL*s2",[1]OUT_TransportEnergyCons!$A$4:$A$10000))*1,[1]OUT_TransportEnergyCons!F$4:F$10000)</f>
        <v>9.1258014161575707E-5</v>
      </c>
      <c r="I1927" s="1" cm="1">
        <f t="array" ref="I1927">SUMPRODUCT(("Var_Cap"=[1]OUT_TransportEnergyCons!$B$4:$B$10000)*1,("-"=[1]OUT_TransportEnergyCons!$C$4:$C$10000)*1,ISNUMBER(SEARCH("T_C*mhy*GSL*s2",[1]OUT_TransportEnergyCons!$A$4:$A$10000))*1,[1]OUT_TransportEnergyCons!G$4:G$10000)</f>
        <v>1.10713093752412E-4</v>
      </c>
      <c r="J1927" s="1" cm="1">
        <f t="array" ref="J1927">SUMPRODUCT(("Var_Cap"=[1]OUT_TransportEnergyCons!$B$4:$B$10000)*1,("-"=[1]OUT_TransportEnergyCons!$C$4:$C$10000)*1,ISNUMBER(SEARCH("T_C*mhy*GSL*s2",[1]OUT_TransportEnergyCons!$A$4:$A$10000))*1,[1]OUT_TransportEnergyCons!H$4:H$10000)</f>
        <v>1.8549480398868101E-5</v>
      </c>
      <c r="K1927" s="1" cm="1">
        <f t="array" ref="K1927">SUMPRODUCT(("Var_Cap"=[1]OUT_TransportEnergyCons!$B$4:$B$10000)*1,("-"=[1]OUT_TransportEnergyCons!$C$4:$C$10000)*1,ISNUMBER(SEARCH("T_C*mhy*GSL*s2",[1]OUT_TransportEnergyCons!$A$4:$A$10000))*1,[1]OUT_TransportEnergyCons!I$4:I$10000)</f>
        <v>0</v>
      </c>
    </row>
    <row r="1928" spans="2:11" x14ac:dyDescent="0.35">
      <c r="B1928" s="5" t="str">
        <f t="shared" si="1247"/>
        <v>SPS2</v>
      </c>
      <c r="C1928" s="5" t="str">
        <f t="shared" si="1245"/>
        <v>CH</v>
      </c>
      <c r="D1928" t="s">
        <v>1951</v>
      </c>
      <c r="E1928" t="str">
        <f t="shared" si="1246"/>
        <v>Million</v>
      </c>
      <c r="F1928" s="1" cm="1">
        <f t="array" ref="F1928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28" s="1" cm="1">
        <f t="array" ref="G1928">SUMPRODUCT(("Var_Cap"=[1]OUT_TransportEnergyCons!$B$4:$B$10000)*1,("-"=[1]OUT_TransportEnergyCons!$C$4:$C$10000)*1,ISNUMBER(SEARCH("T_C*mhy*GSL*s3",[1]OUT_TransportEnergyCons!$A$4:$A$10000))*1,[1]OUT_TransportEnergyCons!E$4:E$10000)</f>
        <v>3.1793537308991203E-5</v>
      </c>
      <c r="H1928" s="1" cm="1">
        <f t="array" ref="H1928">SUMPRODUCT(("Var_Cap"=[1]OUT_TransportEnergyCons!$B$4:$B$10000)*1,("-"=[1]OUT_TransportEnergyCons!$C$4:$C$10000)*1,ISNUMBER(SEARCH("T_C*mhy*GSL*s3",[1]OUT_TransportEnergyCons!$A$4:$A$10000))*1,[1]OUT_TransportEnergyCons!F$4:F$10000)</f>
        <v>8.47199350377022E-5</v>
      </c>
      <c r="I1928" s="1" cm="1">
        <f t="array" ref="I1928">SUMPRODUCT(("Var_Cap"=[1]OUT_TransportEnergyCons!$B$4:$B$10000)*1,("-"=[1]OUT_TransportEnergyCons!$C$4:$C$10000)*1,ISNUMBER(SEARCH("T_C*mhy*GSL*s3",[1]OUT_TransportEnergyCons!$A$4:$A$10000))*1,[1]OUT_TransportEnergyCons!G$4:G$10000)</f>
        <v>9.85910739185708E-5</v>
      </c>
      <c r="J1928" s="1" cm="1">
        <f t="array" ref="J1928">SUMPRODUCT(("Var_Cap"=[1]OUT_TransportEnergyCons!$B$4:$B$10000)*1,("-"=[1]OUT_TransportEnergyCons!$C$4:$C$10000)*1,ISNUMBER(SEARCH("T_C*mhy*GSL*s3",[1]OUT_TransportEnergyCons!$A$4:$A$10000))*1,[1]OUT_TransportEnergyCons!H$4:H$10000)</f>
        <v>1.52965945460036E-5</v>
      </c>
      <c r="K1928" s="1" cm="1">
        <f t="array" ref="K1928">SUMPRODUCT(("Var_Cap"=[1]OUT_TransportEnergyCons!$B$4:$B$10000)*1,("-"=[1]OUT_TransportEnergyCons!$C$4:$C$10000)*1,ISNUMBER(SEARCH("T_C*mhy*GSL*s3",[1]OUT_TransportEnergyCons!$A$4:$A$10000))*1,[1]OUT_TransportEnergyCons!I$4:I$10000)</f>
        <v>0</v>
      </c>
    </row>
    <row r="1929" spans="2:11" x14ac:dyDescent="0.35">
      <c r="B1929" s="5" t="str">
        <f t="shared" si="1247"/>
        <v>SPS2</v>
      </c>
      <c r="C1929" s="5" t="str">
        <f t="shared" si="1245"/>
        <v>CH</v>
      </c>
      <c r="D1929" t="s">
        <v>1952</v>
      </c>
      <c r="E1929" t="str">
        <f t="shared" si="1246"/>
        <v>Million</v>
      </c>
      <c r="F1929" s="1" cm="1">
        <f t="array" ref="F1929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29" s="1" cm="1">
        <f t="array" ref="G1929">SUMPRODUCT(("Var_Cap"=[1]OUT_TransportEnergyCons!$B$4:$B$10000)*1,("-"=[1]OUT_TransportEnergyCons!$C$4:$C$10000)*1,ISNUMBER(SEARCH("T_C*mhy*GSL*s4",[1]OUT_TransportEnergyCons!$A$4:$A$10000))*1,[1]OUT_TransportEnergyCons!E$4:E$10000)</f>
        <v>4.4867112545267901E-5</v>
      </c>
      <c r="H1929" s="1" cm="1">
        <f t="array" ref="H1929">SUMPRODUCT(("Var_Cap"=[1]OUT_TransportEnergyCons!$B$4:$B$10000)*1,("-"=[1]OUT_TransportEnergyCons!$C$4:$C$10000)*1,ISNUMBER(SEARCH("T_C*mhy*GSL*s4",[1]OUT_TransportEnergyCons!$A$4:$A$10000))*1,[1]OUT_TransportEnergyCons!F$4:F$10000)</f>
        <v>1.2685367069568501E-4</v>
      </c>
      <c r="I1929" s="1" cm="1">
        <f t="array" ref="I1929">SUMPRODUCT(("Var_Cap"=[1]OUT_TransportEnergyCons!$B$4:$B$10000)*1,("-"=[1]OUT_TransportEnergyCons!$C$4:$C$10000)*1,ISNUMBER(SEARCH("T_C*mhy*GSL*s4",[1]OUT_TransportEnergyCons!$A$4:$A$10000))*1,[1]OUT_TransportEnergyCons!G$4:G$10000)</f>
        <v>1.4341160638548601E-4</v>
      </c>
      <c r="J1929" s="1" cm="1">
        <f t="array" ref="J1929">SUMPRODUCT(("Var_Cap"=[1]OUT_TransportEnergyCons!$B$4:$B$10000)*1,("-"=[1]OUT_TransportEnergyCons!$C$4:$C$10000)*1,ISNUMBER(SEARCH("T_C*mhy*GSL*s4",[1]OUT_TransportEnergyCons!$A$4:$A$10000))*1,[1]OUT_TransportEnergyCons!H$4:H$10000)</f>
        <v>2.1341261960522499E-5</v>
      </c>
      <c r="K1929" s="1" cm="1">
        <f t="array" ref="K1929">SUMPRODUCT(("Var_Cap"=[1]OUT_TransportEnergyCons!$B$4:$B$10000)*1,("-"=[1]OUT_TransportEnergyCons!$C$4:$C$10000)*1,ISNUMBER(SEARCH("T_C*mhy*GSL*s4",[1]OUT_TransportEnergyCons!$A$4:$A$10000))*1,[1]OUT_TransportEnergyCons!I$4:I$10000)</f>
        <v>0</v>
      </c>
    </row>
    <row r="1930" spans="2:11" x14ac:dyDescent="0.35">
      <c r="B1930" s="5" t="str">
        <f t="shared" si="1247"/>
        <v>SPS2</v>
      </c>
      <c r="C1930" s="5" t="str">
        <f t="shared" si="1245"/>
        <v>CH</v>
      </c>
      <c r="D1930" t="s">
        <v>1953</v>
      </c>
      <c r="E1930" t="str">
        <f t="shared" si="1246"/>
        <v>Million</v>
      </c>
      <c r="F1930" s="1" cm="1">
        <f t="array" ref="F1930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0" s="1" cm="1">
        <f t="array" ref="G1930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0" s="1" cm="1">
        <f t="array" ref="H1930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0" s="1" cm="1">
        <f t="array" ref="I1930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0" s="1" cm="1">
        <f t="array" ref="J1930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0" s="1" cm="1">
        <f t="array" ref="K1930">SUMPRODUCT(("Var_Cap"=[1]OUT_TransportEnergyCons!$B$4:$B$10000)*1,("-"=[1]OUT_TransportEnergyCons!$C$4:$C$10000)*1,ISNUMBER(SEARCH("T_C*hy*dsl*ext",[1]OUT_TransportEnergyCons!$A$4:$A$10000))*1,[1]OUT_TransportEnergyCons!I$4:I$10000)</f>
        <v>0</v>
      </c>
    </row>
    <row r="1931" spans="2:11" x14ac:dyDescent="0.35">
      <c r="B1931" s="5" t="str">
        <f t="shared" si="1247"/>
        <v>SPS2</v>
      </c>
      <c r="C1931" s="5" t="str">
        <f t="shared" si="1245"/>
        <v>CH</v>
      </c>
      <c r="D1931" t="s">
        <v>1954</v>
      </c>
      <c r="E1931" t="str">
        <f t="shared" si="1246"/>
        <v>Million</v>
      </c>
      <c r="F1931" s="1" cm="1">
        <f t="array" ref="F1931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1" s="1" cm="1">
        <f t="array" ref="G1931">SUMPRODUCT(("Var_Cap"=[1]OUT_TransportEnergyCons!$B$4:$B$10000)*1,("-"=[1]OUT_TransportEnergyCons!$C$4:$C$10000)*1,ISNUMBER(SEARCH("T_C*hy*dsl*s1",[1]OUT_TransportEnergyCons!$A$4:$A$10000))*1,[1]OUT_TransportEnergyCons!E$4:E$10000)</f>
        <v>2.9749284951719877E-2</v>
      </c>
      <c r="H1931" s="1" cm="1">
        <f t="array" ref="H1931">SUMPRODUCT(("Var_Cap"=[1]OUT_TransportEnergyCons!$B$4:$B$10000)*1,("-"=[1]OUT_TransportEnergyCons!$C$4:$C$10000)*1,ISNUMBER(SEARCH("T_C*hy*dsl*s1",[1]OUT_TransportEnergyCons!$A$4:$A$10000))*1,[1]OUT_TransportEnergyCons!F$4:F$10000)</f>
        <v>2.8323688205600484E-2</v>
      </c>
      <c r="I1931" s="1" cm="1">
        <f t="array" ref="I1931">SUMPRODUCT(("Var_Cap"=[1]OUT_TransportEnergyCons!$B$4:$B$10000)*1,("-"=[1]OUT_TransportEnergyCons!$C$4:$C$10000)*1,ISNUMBER(SEARCH("T_C*hy*dsl*s1",[1]OUT_TransportEnergyCons!$A$4:$A$10000))*1,[1]OUT_TransportEnergyCons!G$4:G$10000)</f>
        <v>2.290358498466567E-2</v>
      </c>
      <c r="J1931" s="1" cm="1">
        <f t="array" ref="J1931">SUMPRODUCT(("Var_Cap"=[1]OUT_TransportEnergyCons!$B$4:$B$10000)*1,("-"=[1]OUT_TransportEnergyCons!$C$4:$C$10000)*1,ISNUMBER(SEARCH("T_C*hy*dsl*s1",[1]OUT_TransportEnergyCons!$A$4:$A$10000))*1,[1]OUT_TransportEnergyCons!H$4:H$10000)</f>
        <v>8.1445879966821839E-5</v>
      </c>
      <c r="K1931" s="1" cm="1">
        <f t="array" ref="K1931">SUMPRODUCT(("Var_Cap"=[1]OUT_TransportEnergyCons!$B$4:$B$10000)*1,("-"=[1]OUT_TransportEnergyCons!$C$4:$C$10000)*1,ISNUMBER(SEARCH("T_C*hy*dsl*s1",[1]OUT_TransportEnergyCons!$A$4:$A$10000))*1,[1]OUT_TransportEnergyCons!I$4:I$10000)</f>
        <v>0</v>
      </c>
    </row>
    <row r="1932" spans="2:11" x14ac:dyDescent="0.35">
      <c r="B1932" s="5" t="str">
        <f t="shared" si="1247"/>
        <v>SPS2</v>
      </c>
      <c r="C1932" s="5" t="str">
        <f t="shared" si="1245"/>
        <v>CH</v>
      </c>
      <c r="D1932" t="s">
        <v>1955</v>
      </c>
      <c r="E1932" t="str">
        <f t="shared" si="1246"/>
        <v>Million</v>
      </c>
      <c r="F1932" s="1" cm="1">
        <f t="array" ref="F1932">SUMPRODUCT(("Var_Cap"=[1]OUT_TransportEnergyCons!$B$4:$B$10000)*1,("-"=[1]OUT_TransportEnergyCons!$C$4:$C$10000)*1,ISNUMBER(SEARCH("T_C*hy*dsl*s2",[1]OUT_TransportEnergyCons!$A$4:$A$10000))*1,[1]OUT_TransportEnergyCons!D$4:D$10000)</f>
        <v>2.5973428153452862E-4</v>
      </c>
      <c r="G1932" s="1" cm="1">
        <f t="array" ref="G1932">SUMPRODUCT(("Var_Cap"=[1]OUT_TransportEnergyCons!$B$4:$B$10000)*1,("-"=[1]OUT_TransportEnergyCons!$C$4:$C$10000)*1,ISNUMBER(SEARCH("T_C*hy*dsl*s2",[1]OUT_TransportEnergyCons!$A$4:$A$10000))*1,[1]OUT_TransportEnergyCons!E$4:E$10000)</f>
        <v>0.10648903799930401</v>
      </c>
      <c r="H1932" s="1" cm="1">
        <f t="array" ref="H1932">SUMPRODUCT(("Var_Cap"=[1]OUT_TransportEnergyCons!$B$4:$B$10000)*1,("-"=[1]OUT_TransportEnergyCons!$C$4:$C$10000)*1,ISNUMBER(SEARCH("T_C*hy*dsl*s2",[1]OUT_TransportEnergyCons!$A$4:$A$10000))*1,[1]OUT_TransportEnergyCons!F$4:F$10000)</f>
        <v>0.21759484627448553</v>
      </c>
      <c r="I1932" s="1" cm="1">
        <f t="array" ref="I1932">SUMPRODUCT(("Var_Cap"=[1]OUT_TransportEnergyCons!$B$4:$B$10000)*1,("-"=[1]OUT_TransportEnergyCons!$C$4:$C$10000)*1,ISNUMBER(SEARCH("T_C*hy*dsl*s2",[1]OUT_TransportEnergyCons!$A$4:$A$10000))*1,[1]OUT_TransportEnergyCons!G$4:G$10000)</f>
        <v>0.18370384661597858</v>
      </c>
      <c r="J1932" s="1" cm="1">
        <f t="array" ref="J1932">SUMPRODUCT(("Var_Cap"=[1]OUT_TransportEnergyCons!$B$4:$B$10000)*1,("-"=[1]OUT_TransportEnergyCons!$C$4:$C$10000)*1,ISNUMBER(SEARCH("T_C*hy*dsl*s2",[1]OUT_TransportEnergyCons!$A$4:$A$10000))*1,[1]OUT_TransportEnergyCons!H$4:H$10000)</f>
        <v>9.9419981848137638E-3</v>
      </c>
      <c r="K1932" s="1" cm="1">
        <f t="array" ref="K1932">SUMPRODUCT(("Var_Cap"=[1]OUT_TransportEnergyCons!$B$4:$B$10000)*1,("-"=[1]OUT_TransportEnergyCons!$C$4:$C$10000)*1,ISNUMBER(SEARCH("T_C*hy*dsl*s2",[1]OUT_TransportEnergyCons!$A$4:$A$10000))*1,[1]OUT_TransportEnergyCons!I$4:I$10000)</f>
        <v>0</v>
      </c>
    </row>
    <row r="1933" spans="2:11" x14ac:dyDescent="0.35">
      <c r="B1933" s="5" t="str">
        <f t="shared" si="1247"/>
        <v>SPS2</v>
      </c>
      <c r="C1933" s="5" t="str">
        <f t="shared" si="1245"/>
        <v>CH</v>
      </c>
      <c r="D1933" t="s">
        <v>1956</v>
      </c>
      <c r="E1933" t="str">
        <f t="shared" si="1246"/>
        <v>Million</v>
      </c>
      <c r="F1933" s="1" cm="1">
        <f t="array" ref="F1933">SUMPRODUCT(("Var_Cap"=[1]OUT_TransportEnergyCons!$B$4:$B$10000)*1,("-"=[1]OUT_TransportEnergyCons!$C$4:$C$10000)*1,ISNUMBER(SEARCH("T_C*hy*dsl*s3",[1]OUT_TransportEnergyCons!$A$4:$A$10000))*1,[1]OUT_TransportEnergyCons!D$4:D$10000)</f>
        <v>1.8557133087051701E-3</v>
      </c>
      <c r="G1933" s="1" cm="1">
        <f t="array" ref="G1933">SUMPRODUCT(("Var_Cap"=[1]OUT_TransportEnergyCons!$B$4:$B$10000)*1,("-"=[1]OUT_TransportEnergyCons!$C$4:$C$10000)*1,ISNUMBER(SEARCH("T_C*hy*dsl*s3",[1]OUT_TransportEnergyCons!$A$4:$A$10000))*1,[1]OUT_TransportEnergyCons!E$4:E$10000)</f>
        <v>3.9123736480007965E-3</v>
      </c>
      <c r="H1933" s="1" cm="1">
        <f t="array" ref="H1933">SUMPRODUCT(("Var_Cap"=[1]OUT_TransportEnergyCons!$B$4:$B$10000)*1,("-"=[1]OUT_TransportEnergyCons!$C$4:$C$10000)*1,ISNUMBER(SEARCH("T_C*hy*dsl*s3",[1]OUT_TransportEnergyCons!$A$4:$A$10000))*1,[1]OUT_TransportEnergyCons!F$4:F$10000)</f>
        <v>3.8554277249284825E-3</v>
      </c>
      <c r="I1933" s="1" cm="1">
        <f t="array" ref="I1933">SUMPRODUCT(("Var_Cap"=[1]OUT_TransportEnergyCons!$B$4:$B$10000)*1,("-"=[1]OUT_TransportEnergyCons!$C$4:$C$10000)*1,ISNUMBER(SEARCH("T_C*hy*dsl*s3",[1]OUT_TransportEnergyCons!$A$4:$A$10000))*1,[1]OUT_TransportEnergyCons!G$4:G$10000)</f>
        <v>3.1158586026988492E-3</v>
      </c>
      <c r="J1933" s="1" cm="1">
        <f t="array" ref="J1933">SUMPRODUCT(("Var_Cap"=[1]OUT_TransportEnergyCons!$B$4:$B$10000)*1,("-"=[1]OUT_TransportEnergyCons!$C$4:$C$10000)*1,ISNUMBER(SEARCH("T_C*hy*dsl*s3",[1]OUT_TransportEnergyCons!$A$4:$A$10000))*1,[1]OUT_TransportEnergyCons!H$4:H$10000)</f>
        <v>2.8260555199747806E-5</v>
      </c>
      <c r="K1933" s="1" cm="1">
        <f t="array" ref="K1933">SUMPRODUCT(("Var_Cap"=[1]OUT_TransportEnergyCons!$B$4:$B$10000)*1,("-"=[1]OUT_TransportEnergyCons!$C$4:$C$10000)*1,ISNUMBER(SEARCH("T_C*hy*dsl*s3",[1]OUT_TransportEnergyCons!$A$4:$A$10000))*1,[1]OUT_TransportEnergyCons!I$4:I$10000)</f>
        <v>0</v>
      </c>
    </row>
    <row r="1934" spans="2:11" x14ac:dyDescent="0.35">
      <c r="B1934" s="5" t="str">
        <f t="shared" si="1247"/>
        <v>SPS2</v>
      </c>
      <c r="C1934" s="5" t="str">
        <f t="shared" si="1245"/>
        <v>CH</v>
      </c>
      <c r="D1934" t="s">
        <v>1957</v>
      </c>
      <c r="E1934" t="str">
        <f t="shared" si="1246"/>
        <v>Million</v>
      </c>
      <c r="F1934" s="1" cm="1">
        <f t="array" ref="F1934">SUMPRODUCT(("Var_Cap"=[1]OUT_TransportEnergyCons!$B$4:$B$10000)*1,("-"=[1]OUT_TransportEnergyCons!$C$4:$C$10000)*1,ISNUMBER(SEARCH("T_C*hy*dsl*s4",[1]OUT_TransportEnergyCons!$A$4:$A$10000))*1,[1]OUT_TransportEnergyCons!D$4:D$10000)</f>
        <v>3.7727294125401815E-3</v>
      </c>
      <c r="G1934" s="1" cm="1">
        <f t="array" ref="G1934">SUMPRODUCT(("Var_Cap"=[1]OUT_TransportEnergyCons!$B$4:$B$10000)*1,("-"=[1]OUT_TransportEnergyCons!$C$4:$C$10000)*1,ISNUMBER(SEARCH("T_C*hy*dsl*s4",[1]OUT_TransportEnergyCons!$A$4:$A$10000))*1,[1]OUT_TransportEnergyCons!E$4:E$10000)</f>
        <v>9.1167156582307556E-3</v>
      </c>
      <c r="H1934" s="1" cm="1">
        <f t="array" ref="H1934">SUMPRODUCT(("Var_Cap"=[1]OUT_TransportEnergyCons!$B$4:$B$10000)*1,("-"=[1]OUT_TransportEnergyCons!$C$4:$C$10000)*1,ISNUMBER(SEARCH("T_C*hy*dsl*s4",[1]OUT_TransportEnergyCons!$A$4:$A$10000))*1,[1]OUT_TransportEnergyCons!F$4:F$10000)</f>
        <v>8.839428282168476E-3</v>
      </c>
      <c r="I1934" s="1" cm="1">
        <f t="array" ref="I1934">SUMPRODUCT(("Var_Cap"=[1]OUT_TransportEnergyCons!$B$4:$B$10000)*1,("-"=[1]OUT_TransportEnergyCons!$C$4:$C$10000)*1,ISNUMBER(SEARCH("T_C*hy*dsl*s4",[1]OUT_TransportEnergyCons!$A$4:$A$10000))*1,[1]OUT_TransportEnergyCons!G$4:G$10000)</f>
        <v>7.446261459732117E-3</v>
      </c>
      <c r="J1934" s="1" cm="1">
        <f t="array" ref="J1934">SUMPRODUCT(("Var_Cap"=[1]OUT_TransportEnergyCons!$B$4:$B$10000)*1,("-"=[1]OUT_TransportEnergyCons!$C$4:$C$10000)*1,ISNUMBER(SEARCH("T_C*hy*dsl*s4",[1]OUT_TransportEnergyCons!$A$4:$A$10000))*1,[1]OUT_TransportEnergyCons!H$4:H$10000)</f>
        <v>3.0343303822991248E-5</v>
      </c>
      <c r="K1934" s="1" cm="1">
        <f t="array" ref="K1934">SUMPRODUCT(("Var_Cap"=[1]OUT_TransportEnergyCons!$B$4:$B$10000)*1,("-"=[1]OUT_TransportEnergyCons!$C$4:$C$10000)*1,ISNUMBER(SEARCH("T_C*hy*dsl*s4",[1]OUT_TransportEnergyCons!$A$4:$A$10000))*1,[1]OUT_TransportEnergyCons!I$4:I$10000)</f>
        <v>0</v>
      </c>
    </row>
    <row r="1935" spans="2:11" x14ac:dyDescent="0.35">
      <c r="B1935" s="5" t="str">
        <f t="shared" si="1247"/>
        <v>SPS2</v>
      </c>
      <c r="C1935" s="5" t="str">
        <f t="shared" si="1245"/>
        <v>CH</v>
      </c>
      <c r="D1935" t="s">
        <v>1958</v>
      </c>
      <c r="E1935" t="str">
        <f t="shared" si="1246"/>
        <v>Million</v>
      </c>
      <c r="F1935" s="1" cm="1">
        <f t="array" ref="F1935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35" s="1" cm="1">
        <f t="array" ref="G1935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35" s="1" cm="1">
        <f t="array" ref="H1935">SUMPRODUCT(("Var_Cap"=[1]OUT_TransportEnergyCons!$B$4:$B$10000)*1,("-"=[1]OUT_TransportEnergyCons!$C$4:$C$10000)*1,ISNUMBER(SEARCH("T_C*ICE*dsl*ext",[1]OUT_TransportEnergyCons!$A$4:$A$10000))*1,[1]OUT_TransportEnergyCons!F$4:F$10000)</f>
        <v>0.70637181970802132</v>
      </c>
      <c r="I1935" s="1" cm="1">
        <f t="array" ref="I1935">SUMPRODUCT(("Var_Cap"=[1]OUT_TransportEnergyCons!$B$4:$B$10000)*1,("-"=[1]OUT_TransportEnergyCons!$C$4:$C$10000)*1,ISNUMBER(SEARCH("T_C*ICE*dsl*ext",[1]OUT_TransportEnergyCons!$A$4:$A$10000))*1,[1]OUT_TransportEnergyCons!G$4:G$10000)</f>
        <v>0.35318570448770958</v>
      </c>
      <c r="J1935" s="1" cm="1">
        <f t="array" ref="J1935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SUMPRODUCT(("Var_Cap"=[1]OUT_TransportEnergyCons!$B$4:$B$10000)*1,("-"=[1]OUT_TransportEnergyCons!$C$4:$C$10000)*1,ISNUMBER(SEARCH("T_C*ICE*dsl*ext",[1]OUT_TransportEnergyCons!$A$4:$A$10000))*1,[1]OUT_TransportEnergyCons!I$4:I$10000)</f>
        <v>0</v>
      </c>
    </row>
    <row r="1936" spans="2:11" x14ac:dyDescent="0.35">
      <c r="B1936" s="5" t="str">
        <f t="shared" si="1247"/>
        <v>SPS2</v>
      </c>
      <c r="C1936" s="5" t="str">
        <f t="shared" si="1245"/>
        <v>CH</v>
      </c>
      <c r="D1936" t="s">
        <v>1959</v>
      </c>
      <c r="E1936" t="str">
        <f t="shared" si="1246"/>
        <v>Million</v>
      </c>
      <c r="F1936" s="1" cm="1">
        <f t="array" ref="F1936">SUMPRODUCT(("Var_Cap"=[1]OUT_TransportEnergyCons!$B$4:$B$10000)*1,("-"=[1]OUT_TransportEnergyCons!$C$4:$C$10000)*1,ISNUMBER(SEARCH("T_C*ICE*dsl*s1",[1]OUT_TransportEnergyCons!$A$4:$A$10000))*1,[1]OUT_TransportEnergyCons!D$4:D$10000)</f>
        <v>4.4455081992624961E-4</v>
      </c>
      <c r="G1936" s="1" cm="1">
        <f t="array" ref="G1936">SUMPRODUCT(("Var_Cap"=[1]OUT_TransportEnergyCons!$B$4:$B$10000)*1,("-"=[1]OUT_TransportEnergyCons!$C$4:$C$10000)*1,ISNUMBER(SEARCH("T_C*ICE*dsl*s1",[1]OUT_TransportEnergyCons!$A$4:$A$10000))*1,[1]OUT_TransportEnergyCons!E$4:E$10000)</f>
        <v>7.3112111440440559E-4</v>
      </c>
      <c r="H1936" s="1" cm="1">
        <f t="array" ref="H1936">SUMPRODUCT(("Var_Cap"=[1]OUT_TransportEnergyCons!$B$4:$B$10000)*1,("-"=[1]OUT_TransportEnergyCons!$C$4:$C$10000)*1,ISNUMBER(SEARCH("T_C*ICE*dsl*s1",[1]OUT_TransportEnergyCons!$A$4:$A$10000))*1,[1]OUT_TransportEnergyCons!F$4:F$10000)</f>
        <v>8.8752640014773789E-4</v>
      </c>
      <c r="I1936" s="1" cm="1">
        <f t="array" ref="I1936">SUMPRODUCT(("Var_Cap"=[1]OUT_TransportEnergyCons!$B$4:$B$10000)*1,("-"=[1]OUT_TransportEnergyCons!$C$4:$C$10000)*1,ISNUMBER(SEARCH("T_C*ICE*dsl*s1",[1]OUT_TransportEnergyCons!$A$4:$A$10000))*1,[1]OUT_TransportEnergyCons!G$4:G$10000)</f>
        <v>7.2953616067530805E-4</v>
      </c>
      <c r="J1936" s="1" cm="1">
        <f t="array" ref="J1936">SUMPRODUCT(("Var_Cap"=[1]OUT_TransportEnergyCons!$B$4:$B$10000)*1,("-"=[1]OUT_TransportEnergyCons!$C$4:$C$10000)*1,ISNUMBER(SEARCH("T_C*ICE*dsl*s1",[1]OUT_TransportEnergyCons!$A$4:$A$10000))*1,[1]OUT_TransportEnergyCons!H$4:H$10000)</f>
        <v>3.474222770656465E-5</v>
      </c>
      <c r="K1936" s="1" cm="1">
        <f t="array" ref="K1936">SUMPRODUCT(("Var_Cap"=[1]OUT_TransportEnergyCons!$B$4:$B$10000)*1,("-"=[1]OUT_TransportEnergyCons!$C$4:$C$10000)*1,ISNUMBER(SEARCH("T_C*ICE*dsl*s1",[1]OUT_TransportEnergyCons!$A$4:$A$10000))*1,[1]OUT_TransportEnergyCons!I$4:I$10000)</f>
        <v>0</v>
      </c>
    </row>
    <row r="1937" spans="2:11" x14ac:dyDescent="0.35">
      <c r="B1937" s="5" t="str">
        <f t="shared" si="1247"/>
        <v>SPS2</v>
      </c>
      <c r="C1937" s="5" t="str">
        <f t="shared" si="1245"/>
        <v>CH</v>
      </c>
      <c r="D1937" t="s">
        <v>1960</v>
      </c>
      <c r="E1937" t="str">
        <f t="shared" si="1246"/>
        <v>Million</v>
      </c>
      <c r="F1937" s="1" cm="1">
        <f t="array" ref="F1937">SUMPRODUCT(("Var_Cap"=[1]OUT_TransportEnergyCons!$B$4:$B$10000)*1,("-"=[1]OUT_TransportEnergyCons!$C$4:$C$10000)*1,ISNUMBER(SEARCH("T_C*ICE*dsl*s2",[1]OUT_TransportEnergyCons!$A$4:$A$10000))*1,[1]OUT_TransportEnergyCons!D$4:D$10000)</f>
        <v>6.4567349972070795E-2</v>
      </c>
      <c r="G1937" s="1" cm="1">
        <f t="array" ref="G1937">SUMPRODUCT(("Var_Cap"=[1]OUT_TransportEnergyCons!$B$4:$B$10000)*1,("-"=[1]OUT_TransportEnergyCons!$C$4:$C$10000)*1,ISNUMBER(SEARCH("T_C*ICE*dsl*s2",[1]OUT_TransportEnergyCons!$A$4:$A$10000))*1,[1]OUT_TransportEnergyCons!E$4:E$10000)</f>
        <v>6.8570008423793155E-2</v>
      </c>
      <c r="H1937" s="1" cm="1">
        <f t="array" ref="H1937">SUMPRODUCT(("Var_Cap"=[1]OUT_TransportEnergyCons!$B$4:$B$10000)*1,("-"=[1]OUT_TransportEnergyCons!$C$4:$C$10000)*1,ISNUMBER(SEARCH("T_C*ICE*dsl*s2",[1]OUT_TransportEnergyCons!$A$4:$A$10000))*1,[1]OUT_TransportEnergyCons!F$4:F$10000)</f>
        <v>6.8045150533839915E-2</v>
      </c>
      <c r="I1937" s="1" cm="1">
        <f t="array" ref="I1937">SUMPRODUCT(("Var_Cap"=[1]OUT_TransportEnergyCons!$B$4:$B$10000)*1,("-"=[1]OUT_TransportEnergyCons!$C$4:$C$10000)*1,ISNUMBER(SEARCH("T_C*ICE*dsl*s2",[1]OUT_TransportEnergyCons!$A$4:$A$10000))*1,[1]OUT_TransportEnergyCons!G$4:G$10000)</f>
        <v>5.1620493476813016E-2</v>
      </c>
      <c r="J1937" s="1" cm="1">
        <f t="array" ref="J1937">SUMPRODUCT(("Var_Cap"=[1]OUT_TransportEnergyCons!$B$4:$B$10000)*1,("-"=[1]OUT_TransportEnergyCons!$C$4:$C$10000)*1,ISNUMBER(SEARCH("T_C*ICE*dsl*s2",[1]OUT_TransportEnergyCons!$A$4:$A$10000))*1,[1]OUT_TransportEnergyCons!H$4:H$10000)</f>
        <v>1.7460124466669554E-5</v>
      </c>
      <c r="K1937" s="1" cm="1">
        <f t="array" ref="K1937">SUMPRODUCT(("Var_Cap"=[1]OUT_TransportEnergyCons!$B$4:$B$10000)*1,("-"=[1]OUT_TransportEnergyCons!$C$4:$C$10000)*1,ISNUMBER(SEARCH("T_C*ICE*dsl*s2",[1]OUT_TransportEnergyCons!$A$4:$A$10000))*1,[1]OUT_TransportEnergyCons!I$4:I$10000)</f>
        <v>0</v>
      </c>
    </row>
    <row r="1938" spans="2:11" x14ac:dyDescent="0.35">
      <c r="B1938" s="5" t="str">
        <f t="shared" si="1247"/>
        <v>SPS2</v>
      </c>
      <c r="C1938" s="5" t="str">
        <f t="shared" si="1245"/>
        <v>CH</v>
      </c>
      <c r="D1938" t="s">
        <v>1961</v>
      </c>
      <c r="E1938" t="str">
        <f t="shared" si="1246"/>
        <v>Million</v>
      </c>
      <c r="F1938" s="1" cm="1">
        <f t="array" ref="F1938">SUMPRODUCT(("Var_Cap"=[1]OUT_TransportEnergyCons!$B$4:$B$10000)*1,("-"=[1]OUT_TransportEnergyCons!$C$4:$C$10000)*1,ISNUMBER(SEARCH("T_C*ICE*dsl*s3",[1]OUT_TransportEnergyCons!$A$4:$A$10000))*1,[1]OUT_TransportEnergyCons!D$4:D$10000)</f>
        <v>0.18323960534287628</v>
      </c>
      <c r="G1938" s="1" cm="1">
        <f t="array" ref="G1938">SUMPRODUCT(("Var_Cap"=[1]OUT_TransportEnergyCons!$B$4:$B$10000)*1,("-"=[1]OUT_TransportEnergyCons!$C$4:$C$10000)*1,ISNUMBER(SEARCH("T_C*ICE*dsl*s3",[1]OUT_TransportEnergyCons!$A$4:$A$10000))*1,[1]OUT_TransportEnergyCons!E$4:E$10000)</f>
        <v>0.19505384864742639</v>
      </c>
      <c r="H1938" s="1" cm="1">
        <f t="array" ref="H1938">SUMPRODUCT(("Var_Cap"=[1]OUT_TransportEnergyCons!$B$4:$B$10000)*1,("-"=[1]OUT_TransportEnergyCons!$C$4:$C$10000)*1,ISNUMBER(SEARCH("T_C*ICE*dsl*s3",[1]OUT_TransportEnergyCons!$A$4:$A$10000))*1,[1]OUT_TransportEnergyCons!F$4:F$10000)</f>
        <v>0.19307971503128485</v>
      </c>
      <c r="I1938" s="1" cm="1">
        <f t="array" ref="I1938">SUMPRODUCT(("Var_Cap"=[1]OUT_TransportEnergyCons!$B$4:$B$10000)*1,("-"=[1]OUT_TransportEnergyCons!$C$4:$C$10000)*1,ISNUMBER(SEARCH("T_C*ICE*dsl*s3",[1]OUT_TransportEnergyCons!$A$4:$A$10000))*1,[1]OUT_TransportEnergyCons!G$4:G$10000)</f>
        <v>0.15003619922626932</v>
      </c>
      <c r="J1938" s="1" cm="1">
        <f t="array" ref="J1938">SUMPRODUCT(("Var_Cap"=[1]OUT_TransportEnergyCons!$B$4:$B$10000)*1,("-"=[1]OUT_TransportEnergyCons!$C$4:$C$10000)*1,ISNUMBER(SEARCH("T_C*ICE*dsl*s3",[1]OUT_TransportEnergyCons!$A$4:$A$10000))*1,[1]OUT_TransportEnergyCons!H$4:H$10000)</f>
        <v>1.2510440329000832E-5</v>
      </c>
      <c r="K1938" s="1" cm="1">
        <f t="array" ref="K1938">SUMPRODUCT(("Var_Cap"=[1]OUT_TransportEnergyCons!$B$4:$B$10000)*1,("-"=[1]OUT_TransportEnergyCons!$C$4:$C$10000)*1,ISNUMBER(SEARCH("T_C*ICE*dsl*s3",[1]OUT_TransportEnergyCons!$A$4:$A$10000))*1,[1]OUT_TransportEnergyCons!I$4:I$10000)</f>
        <v>0</v>
      </c>
    </row>
    <row r="1939" spans="2:11" x14ac:dyDescent="0.35">
      <c r="B1939" s="5" t="str">
        <f t="shared" si="1247"/>
        <v>SPS2</v>
      </c>
      <c r="C1939" s="5" t="str">
        <f t="shared" si="1245"/>
        <v>CH</v>
      </c>
      <c r="D1939" t="s">
        <v>1962</v>
      </c>
      <c r="E1939" t="str">
        <f t="shared" si="1246"/>
        <v>Million</v>
      </c>
      <c r="F1939" s="1" cm="1">
        <f t="array" ref="F1939">SUMPRODUCT(("Var_Cap"=[1]OUT_TransportEnergyCons!$B$4:$B$10000)*1,("-"=[1]OUT_TransportEnergyCons!$C$4:$C$10000)*1,ISNUMBER(SEARCH("T_C*ICE*dsl*s4",[1]OUT_TransportEnergyCons!$A$4:$A$10000))*1,[1]OUT_TransportEnergyCons!D$4:D$10000)</f>
        <v>7.1261604013570637E-2</v>
      </c>
      <c r="G1939" s="1" cm="1">
        <f t="array" ref="G1939">SUMPRODUCT(("Var_Cap"=[1]OUT_TransportEnergyCons!$B$4:$B$10000)*1,("-"=[1]OUT_TransportEnergyCons!$C$4:$C$10000)*1,ISNUMBER(SEARCH("T_C*ICE*dsl*s4",[1]OUT_TransportEnergyCons!$A$4:$A$10000))*1,[1]OUT_TransportEnergyCons!E$4:E$10000)</f>
        <v>7.9361397749016169E-2</v>
      </c>
      <c r="H1939" s="1" cm="1">
        <f t="array" ref="H1939">SUMPRODUCT(("Var_Cap"=[1]OUT_TransportEnergyCons!$B$4:$B$10000)*1,("-"=[1]OUT_TransportEnergyCons!$C$4:$C$10000)*1,ISNUMBER(SEARCH("T_C*ICE*dsl*s4",[1]OUT_TransportEnergyCons!$A$4:$A$10000))*1,[1]OUT_TransportEnergyCons!F$4:F$10000)</f>
        <v>7.8260292356291797E-2</v>
      </c>
      <c r="I1939" s="1" cm="1">
        <f t="array" ref="I1939">SUMPRODUCT(("Var_Cap"=[1]OUT_TransportEnergyCons!$B$4:$B$10000)*1,("-"=[1]OUT_TransportEnergyCons!$C$4:$C$10000)*1,ISNUMBER(SEARCH("T_C*ICE*dsl*s4",[1]OUT_TransportEnergyCons!$A$4:$A$10000))*1,[1]OUT_TransportEnergyCons!G$4:G$10000)</f>
        <v>6.1115850790955828E-2</v>
      </c>
      <c r="J1939" s="1" cm="1">
        <f t="array" ref="J1939">SUMPRODUCT(("Var_Cap"=[1]OUT_TransportEnergyCons!$B$4:$B$10000)*1,("-"=[1]OUT_TransportEnergyCons!$C$4:$C$10000)*1,ISNUMBER(SEARCH("T_C*ICE*dsl*s4",[1]OUT_TransportEnergyCons!$A$4:$A$10000))*1,[1]OUT_TransportEnergyCons!H$4:H$10000)</f>
        <v>9.5474097752141831E-6</v>
      </c>
      <c r="K1939" s="1" cm="1">
        <f t="array" ref="K1939">SUMPRODUCT(("Var_Cap"=[1]OUT_TransportEnergyCons!$B$4:$B$10000)*1,("-"=[1]OUT_TransportEnergyCons!$C$4:$C$10000)*1,ISNUMBER(SEARCH("T_C*ICE*dsl*s4",[1]OUT_TransportEnergyCons!$A$4:$A$10000))*1,[1]OUT_TransportEnergyCons!I$4:I$10000)</f>
        <v>0</v>
      </c>
    </row>
    <row r="1940" spans="2:11" x14ac:dyDescent="0.35">
      <c r="B1940" s="5" t="str">
        <f t="shared" si="1247"/>
        <v>SPS2</v>
      </c>
      <c r="C1940" s="5" t="str">
        <f t="shared" si="1245"/>
        <v>CH</v>
      </c>
      <c r="D1940" t="s">
        <v>1963</v>
      </c>
      <c r="E1940" t="str">
        <f t="shared" si="1246"/>
        <v>Million</v>
      </c>
      <c r="F1940" s="1" cm="1">
        <f t="array" ref="F1940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0" s="1" cm="1">
        <f t="array" ref="G1940">SUMPRODUCT(("Var_Cap"=[1]OUT_TransportEnergyCons!$B$4:$B$10000)*1,("-"=[1]OUT_TransportEnergyCons!$C$4:$C$10000)*1,ISNUMBER(SEARCH("T_C*mhy*dsl*s1",[1]OUT_TransportEnergyCons!$A$4:$A$10000))*1,[1]OUT_TransportEnergyCons!E$4:E$10000)</f>
        <v>5.5815751097477102E-5</v>
      </c>
      <c r="H1940" s="1" cm="1">
        <f t="array" ref="H1940">SUMPRODUCT(("Var_Cap"=[1]OUT_TransportEnergyCons!$B$4:$B$10000)*1,("-"=[1]OUT_TransportEnergyCons!$C$4:$C$10000)*1,ISNUMBER(SEARCH("T_C*mhy*dsl*s1",[1]OUT_TransportEnergyCons!$A$4:$A$10000))*1,[1]OUT_TransportEnergyCons!F$4:F$10000)</f>
        <v>1.28025988338014E-4</v>
      </c>
      <c r="I1940" s="1" cm="1">
        <f t="array" ref="I1940">SUMPRODUCT(("Var_Cap"=[1]OUT_TransportEnergyCons!$B$4:$B$10000)*1,("-"=[1]OUT_TransportEnergyCons!$C$4:$C$10000)*1,ISNUMBER(SEARCH("T_C*mhy*dsl*s1",[1]OUT_TransportEnergyCons!$A$4:$A$10000))*1,[1]OUT_TransportEnergyCons!G$4:G$10000)</f>
        <v>1.6531337953215201E-4</v>
      </c>
      <c r="J1940" s="1" cm="1">
        <f t="array" ref="J1940">SUMPRODUCT(("Var_Cap"=[1]OUT_TransportEnergyCons!$B$4:$B$10000)*1,("-"=[1]OUT_TransportEnergyCons!$C$4:$C$10000)*1,ISNUMBER(SEARCH("T_C*mhy*dsl*s1",[1]OUT_TransportEnergyCons!$A$4:$A$10000))*1,[1]OUT_TransportEnergyCons!H$4:H$10000)</f>
        <v>2.93176370979004E-5</v>
      </c>
      <c r="K1940" s="1" cm="1">
        <f t="array" ref="K1940">SUMPRODUCT(("Var_Cap"=[1]OUT_TransportEnergyCons!$B$4:$B$10000)*1,("-"=[1]OUT_TransportEnergyCons!$C$4:$C$10000)*1,ISNUMBER(SEARCH("T_C*mhy*dsl*s1",[1]OUT_TransportEnergyCons!$A$4:$A$10000))*1,[1]OUT_TransportEnergyCons!I$4:I$10000)</f>
        <v>0</v>
      </c>
    </row>
    <row r="1941" spans="2:11" x14ac:dyDescent="0.35">
      <c r="B1941" s="5" t="str">
        <f t="shared" si="1247"/>
        <v>SPS2</v>
      </c>
      <c r="C1941" s="5" t="str">
        <f t="shared" si="1245"/>
        <v>CH</v>
      </c>
      <c r="D1941" t="s">
        <v>1964</v>
      </c>
      <c r="E1941" t="str">
        <f t="shared" si="1246"/>
        <v>Million</v>
      </c>
      <c r="F1941" s="1" cm="1">
        <f t="array" ref="F1941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1" s="1" cm="1">
        <f t="array" ref="G1941">SUMPRODUCT(("Var_Cap"=[1]OUT_TransportEnergyCons!$B$4:$B$10000)*1,("-"=[1]OUT_TransportEnergyCons!$C$4:$C$10000)*1,ISNUMBER(SEARCH("T_C*mhy*dsl*s2",[1]OUT_TransportEnergyCons!$A$4:$A$10000))*1,[1]OUT_TransportEnergyCons!E$4:E$10000)</f>
        <v>2.6007758116975701E-5</v>
      </c>
      <c r="H1941" s="1" cm="1">
        <f t="array" ref="H1941">SUMPRODUCT(("Var_Cap"=[1]OUT_TransportEnergyCons!$B$4:$B$10000)*1,("-"=[1]OUT_TransportEnergyCons!$C$4:$C$10000)*1,ISNUMBER(SEARCH("T_C*mhy*dsl*s2",[1]OUT_TransportEnergyCons!$A$4:$A$10000))*1,[1]OUT_TransportEnergyCons!F$4:F$10000)</f>
        <v>7.3807901511613699E-5</v>
      </c>
      <c r="I1941" s="1" cm="1">
        <f t="array" ref="I1941">SUMPRODUCT(("Var_Cap"=[1]OUT_TransportEnergyCons!$B$4:$B$10000)*1,("-"=[1]OUT_TransportEnergyCons!$C$4:$C$10000)*1,ISNUMBER(SEARCH("T_C*mhy*dsl*s2",[1]OUT_TransportEnergyCons!$A$4:$A$10000))*1,[1]OUT_TransportEnergyCons!G$4:G$10000)</f>
        <v>8.8925443384351295E-5</v>
      </c>
      <c r="J1941" s="1" cm="1">
        <f t="array" ref="J1941">SUMPRODUCT(("Var_Cap"=[1]OUT_TransportEnergyCons!$B$4:$B$10000)*1,("-"=[1]OUT_TransportEnergyCons!$C$4:$C$10000)*1,ISNUMBER(SEARCH("T_C*mhy*dsl*s2",[1]OUT_TransportEnergyCons!$A$4:$A$10000))*1,[1]OUT_TransportEnergyCons!H$4:H$10000)</f>
        <v>1.4637463589820401E-5</v>
      </c>
      <c r="K1941" s="1" cm="1">
        <f t="array" ref="K1941">SUMPRODUCT(("Var_Cap"=[1]OUT_TransportEnergyCons!$B$4:$B$10000)*1,("-"=[1]OUT_TransportEnergyCons!$C$4:$C$10000)*1,ISNUMBER(SEARCH("T_C*mhy*dsl*s2",[1]OUT_TransportEnergyCons!$A$4:$A$10000))*1,[1]OUT_TransportEnergyCons!I$4:I$10000)</f>
        <v>0</v>
      </c>
    </row>
    <row r="1942" spans="2:11" x14ac:dyDescent="0.35">
      <c r="B1942" s="5" t="str">
        <f t="shared" si="1247"/>
        <v>SPS2</v>
      </c>
      <c r="C1942" s="5" t="str">
        <f t="shared" si="1245"/>
        <v>CH</v>
      </c>
      <c r="D1942" t="s">
        <v>1965</v>
      </c>
      <c r="E1942" t="str">
        <f t="shared" si="1246"/>
        <v>Million</v>
      </c>
      <c r="F1942" s="1" cm="1">
        <f t="array" ref="F1942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2" s="1" cm="1">
        <f t="array" ref="G1942">SUMPRODUCT(("Var_Cap"=[1]OUT_TransportEnergyCons!$B$4:$B$10000)*1,("-"=[1]OUT_TransportEnergyCons!$C$4:$C$10000)*1,ISNUMBER(SEARCH("T_C*mhy*dsl*s3",[1]OUT_TransportEnergyCons!$A$4:$A$10000))*1,[1]OUT_TransportEnergyCons!E$4:E$10000)</f>
        <v>2.6945706126363301E-5</v>
      </c>
      <c r="H1942" s="1" cm="1">
        <f t="array" ref="H1942">SUMPRODUCT(("Var_Cap"=[1]OUT_TransportEnergyCons!$B$4:$B$10000)*1,("-"=[1]OUT_TransportEnergyCons!$C$4:$C$10000)*1,ISNUMBER(SEARCH("T_C*mhy*dsl*s3",[1]OUT_TransportEnergyCons!$A$4:$A$10000))*1,[1]OUT_TransportEnergyCons!F$4:F$10000)</f>
        <v>6.6717250245864495E-5</v>
      </c>
      <c r="I1942" s="1" cm="1">
        <f t="array" ref="I1942">SUMPRODUCT(("Var_Cap"=[1]OUT_TransportEnergyCons!$B$4:$B$10000)*1,("-"=[1]OUT_TransportEnergyCons!$C$4:$C$10000)*1,ISNUMBER(SEARCH("T_C*mhy*dsl*s3",[1]OUT_TransportEnergyCons!$A$4:$A$10000))*1,[1]OUT_TransportEnergyCons!G$4:G$10000)</f>
        <v>7.7330386843171801E-5</v>
      </c>
      <c r="J1942" s="1" cm="1">
        <f t="array" ref="J1942">SUMPRODUCT(("Var_Cap"=[1]OUT_TransportEnergyCons!$B$4:$B$10000)*1,("-"=[1]OUT_TransportEnergyCons!$C$4:$C$10000)*1,ISNUMBER(SEARCH("T_C*mhy*dsl*s3",[1]OUT_TransportEnergyCons!$A$4:$A$10000))*1,[1]OUT_TransportEnergyCons!H$4:H$10000)</f>
        <v>1.18239713709161E-5</v>
      </c>
      <c r="K1942" s="1" cm="1">
        <f t="array" ref="K1942">SUMPRODUCT(("Var_Cap"=[1]OUT_TransportEnergyCons!$B$4:$B$10000)*1,("-"=[1]OUT_TransportEnergyCons!$C$4:$C$10000)*1,ISNUMBER(SEARCH("T_C*mhy*dsl*s3",[1]OUT_TransportEnergyCons!$A$4:$A$10000))*1,[1]OUT_TransportEnergyCons!I$4:I$10000)</f>
        <v>0</v>
      </c>
    </row>
    <row r="1943" spans="2:11" x14ac:dyDescent="0.35">
      <c r="B1943" s="5" t="str">
        <f t="shared" si="1247"/>
        <v>SPS2</v>
      </c>
      <c r="C1943" s="5" t="str">
        <f t="shared" si="1245"/>
        <v>CH</v>
      </c>
      <c r="D1943" t="s">
        <v>1966</v>
      </c>
      <c r="E1943" t="str">
        <f t="shared" si="1246"/>
        <v>Million</v>
      </c>
      <c r="F1943" s="1" cm="1">
        <f t="array" ref="F1943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3" s="1" cm="1">
        <f t="array" ref="G1943">SUMPRODUCT(("Var_Cap"=[1]OUT_TransportEnergyCons!$B$4:$B$10000)*1,("-"=[1]OUT_TransportEnergyCons!$C$4:$C$10000)*1,ISNUMBER(SEARCH("T_C*mhy*dsl*s4",[1]OUT_TransportEnergyCons!$A$4:$A$10000))*1,[1]OUT_TransportEnergyCons!E$4:E$10000)</f>
        <v>2.31357139867335E-5</v>
      </c>
      <c r="H1943" s="1" cm="1">
        <f t="array" ref="H1943">SUMPRODUCT(("Var_Cap"=[1]OUT_TransportEnergyCons!$B$4:$B$10000)*1,("-"=[1]OUT_TransportEnergyCons!$C$4:$C$10000)*1,ISNUMBER(SEARCH("T_C*mhy*dsl*s4",[1]OUT_TransportEnergyCons!$A$4:$A$10000))*1,[1]OUT_TransportEnergyCons!F$4:F$10000)</f>
        <v>5.4978530829482002E-5</v>
      </c>
      <c r="I1943" s="1" cm="1">
        <f t="array" ref="I1943">SUMPRODUCT(("Var_Cap"=[1]OUT_TransportEnergyCons!$B$4:$B$10000)*1,("-"=[1]OUT_TransportEnergyCons!$C$4:$C$10000)*1,ISNUMBER(SEARCH("T_C*mhy*dsl*s4",[1]OUT_TransportEnergyCons!$A$4:$A$10000))*1,[1]OUT_TransportEnergyCons!G$4:G$10000)</f>
        <v>6.4722401265688897E-5</v>
      </c>
      <c r="J1943" s="1" cm="1">
        <f t="array" ref="J1943">SUMPRODUCT(("Var_Cap"=[1]OUT_TransportEnergyCons!$B$4:$B$10000)*1,("-"=[1]OUT_TransportEnergyCons!$C$4:$C$10000)*1,ISNUMBER(SEARCH("T_C*mhy*dsl*s4",[1]OUT_TransportEnergyCons!$A$4:$A$10000))*1,[1]OUT_TransportEnergyCons!H$4:H$10000)</f>
        <v>1.0099618859383701E-5</v>
      </c>
      <c r="K1943" s="1" cm="1">
        <f t="array" ref="K1943">SUMPRODUCT(("Var_Cap"=[1]OUT_TransportEnergyCons!$B$4:$B$10000)*1,("-"=[1]OUT_TransportEnergyCons!$C$4:$C$10000)*1,ISNUMBER(SEARCH("T_C*mhy*dsl*s4",[1]OUT_TransportEnergyCons!$A$4:$A$10000))*1,[1]OUT_TransportEnergyCons!I$4:I$10000)</f>
        <v>0</v>
      </c>
    </row>
    <row r="1944" spans="2:11" x14ac:dyDescent="0.35">
      <c r="B1944" s="5" t="str">
        <f t="shared" si="1247"/>
        <v>SPS2</v>
      </c>
      <c r="C1944" s="5" t="str">
        <f t="shared" si="1245"/>
        <v>CH</v>
      </c>
      <c r="D1944" t="s">
        <v>1967</v>
      </c>
      <c r="E1944" t="str">
        <f t="shared" si="1246"/>
        <v>Million</v>
      </c>
      <c r="F1944" s="1" cm="1">
        <f t="array" ref="F1944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4" s="1" cm="1">
        <f t="array" ref="G1944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4" s="1" cm="1">
        <f t="array" ref="H1944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4" s="1" cm="1">
        <f t="array" ref="I1944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4" s="1" cm="1">
        <f t="array" ref="J1944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4" s="1" cm="1">
        <f t="array" ref="K1944">SUMPRODUCT(("Var_Cap"=[1]OUT_TransportEnergyCons!$B$4:$B$10000)*1,("-"=[1]OUT_TransportEnergyCons!$C$4:$C$10000)*1,ISNUMBER(SEARCH("T_C*ICE*nga*ext",[1]OUT_TransportEnergyCons!$A$4:$A$10000))*1,[1]OUT_TransportEnergyCons!I$4:I$10000)</f>
        <v>0</v>
      </c>
    </row>
    <row r="1945" spans="2:11" x14ac:dyDescent="0.35">
      <c r="B1945" s="5" t="str">
        <f t="shared" si="1247"/>
        <v>SPS2</v>
      </c>
      <c r="C1945" s="5" t="str">
        <f t="shared" si="1245"/>
        <v>CH</v>
      </c>
      <c r="D1945" t="s">
        <v>1968</v>
      </c>
      <c r="E1945" t="str">
        <f t="shared" si="1246"/>
        <v>Million</v>
      </c>
      <c r="F1945" s="1" cm="1">
        <f t="array" ref="F1945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45" s="1" cm="1">
        <f t="array" ref="G1945">SUMPRODUCT(("Var_Cap"=[1]OUT_TransportEnergyCons!$B$4:$B$10000)*1,("-"=[1]OUT_TransportEnergyCons!$C$4:$C$10000)*1,ISNUMBER(SEARCH("T_C*ICE*nga*s1",[1]OUT_TransportEnergyCons!$A$4:$A$10000))*1,[1]OUT_TransportEnergyCons!E$4:E$10000)</f>
        <v>1.786515564976225E-4</v>
      </c>
      <c r="H1945" s="1" cm="1">
        <f t="array" ref="H1945">SUMPRODUCT(("Var_Cap"=[1]OUT_TransportEnergyCons!$B$4:$B$10000)*1,("-"=[1]OUT_TransportEnergyCons!$C$4:$C$10000)*1,ISNUMBER(SEARCH("T_C*ICE*nga*s1",[1]OUT_TransportEnergyCons!$A$4:$A$10000))*1,[1]OUT_TransportEnergyCons!F$4:F$10000)</f>
        <v>1.894830489463209E-4</v>
      </c>
      <c r="I1945" s="1" cm="1">
        <f t="array" ref="I1945">SUMPRODUCT(("Var_Cap"=[1]OUT_TransportEnergyCons!$B$4:$B$10000)*1,("-"=[1]OUT_TransportEnergyCons!$C$4:$C$10000)*1,ISNUMBER(SEARCH("T_C*ICE*nga*s1",[1]OUT_TransportEnergyCons!$A$4:$A$10000))*1,[1]OUT_TransportEnergyCons!G$4:G$10000)</f>
        <v>4.8820705294654612E-5</v>
      </c>
      <c r="J1945" s="1" cm="1">
        <f t="array" ref="J1945">SUMPRODUCT(("Var_Cap"=[1]OUT_TransportEnergyCons!$B$4:$B$10000)*1,("-"=[1]OUT_TransportEnergyCons!$C$4:$C$10000)*1,ISNUMBER(SEARCH("T_C*ICE*nga*s1",[1]OUT_TransportEnergyCons!$A$4:$A$10000))*1,[1]OUT_TransportEnergyCons!H$4:H$10000)</f>
        <v>3.5665247843906759E-6</v>
      </c>
      <c r="K1945" s="1" cm="1">
        <f t="array" ref="K1945">SUMPRODUCT(("Var_Cap"=[1]OUT_TransportEnergyCons!$B$4:$B$10000)*1,("-"=[1]OUT_TransportEnergyCons!$C$4:$C$10000)*1,ISNUMBER(SEARCH("T_C*ICE*nga*s1",[1]OUT_TransportEnergyCons!$A$4:$A$10000))*1,[1]OUT_TransportEnergyCons!I$4:I$10000)</f>
        <v>0</v>
      </c>
    </row>
    <row r="1946" spans="2:11" x14ac:dyDescent="0.35">
      <c r="B1946" s="5" t="str">
        <f t="shared" si="1247"/>
        <v>SPS2</v>
      </c>
      <c r="C1946" s="5" t="str">
        <f t="shared" si="1245"/>
        <v>CH</v>
      </c>
      <c r="D1946" t="s">
        <v>1969</v>
      </c>
      <c r="E1946" t="str">
        <f t="shared" si="1246"/>
        <v>Million</v>
      </c>
      <c r="F1946" s="1" cm="1">
        <f t="array" ref="F1946">SUMPRODUCT(("Var_Cap"=[1]OUT_TransportEnergyCons!$B$4:$B$10000)*1,("-"=[1]OUT_TransportEnergyCons!$C$4:$C$10000)*1,ISNUMBER(SEARCH("T_C*ICE*nga*s2",[1]OUT_TransportEnergyCons!$A$4:$A$10000))*1,[1]OUT_TransportEnergyCons!D$4:D$10000)</f>
        <v>2.6901942264804381E-3</v>
      </c>
      <c r="G1946" s="1" cm="1">
        <f t="array" ref="G1946">SUMPRODUCT(("Var_Cap"=[1]OUT_TransportEnergyCons!$B$4:$B$10000)*1,("-"=[1]OUT_TransportEnergyCons!$C$4:$C$10000)*1,ISNUMBER(SEARCH("T_C*ICE*nga*s2",[1]OUT_TransportEnergyCons!$A$4:$A$10000))*1,[1]OUT_TransportEnergyCons!E$4:E$10000)</f>
        <v>2.8207640738650247E-3</v>
      </c>
      <c r="H1946" s="1" cm="1">
        <f t="array" ref="H1946">SUMPRODUCT(("Var_Cap"=[1]OUT_TransportEnergyCons!$B$4:$B$10000)*1,("-"=[1]OUT_TransportEnergyCons!$C$4:$C$10000)*1,ISNUMBER(SEARCH("T_C*ICE*nga*s2",[1]OUT_TransportEnergyCons!$A$4:$A$10000))*1,[1]OUT_TransportEnergyCons!F$4:F$10000)</f>
        <v>2.7959889563161089E-3</v>
      </c>
      <c r="I1946" s="1" cm="1">
        <f t="array" ref="I1946">SUMPRODUCT(("Var_Cap"=[1]OUT_TransportEnergyCons!$B$4:$B$10000)*1,("-"=[1]OUT_TransportEnergyCons!$C$4:$C$10000)*1,ISNUMBER(SEARCH("T_C*ICE*nga*s2",[1]OUT_TransportEnergyCons!$A$4:$A$10000))*1,[1]OUT_TransportEnergyCons!G$4:G$10000)</f>
        <v>7.8708323500793244E-5</v>
      </c>
      <c r="J1946" s="1" cm="1">
        <f t="array" ref="J1946">SUMPRODUCT(("Var_Cap"=[1]OUT_TransportEnergyCons!$B$4:$B$10000)*1,("-"=[1]OUT_TransportEnergyCons!$C$4:$C$10000)*1,ISNUMBER(SEARCH("T_C*ICE*nga*s2",[1]OUT_TransportEnergyCons!$A$4:$A$10000))*1,[1]OUT_TransportEnergyCons!H$4:H$10000)</f>
        <v>3.0844022740267375E-6</v>
      </c>
      <c r="K1946" s="1" cm="1">
        <f t="array" ref="K1946">SUMPRODUCT(("Var_Cap"=[1]OUT_TransportEnergyCons!$B$4:$B$10000)*1,("-"=[1]OUT_TransportEnergyCons!$C$4:$C$10000)*1,ISNUMBER(SEARCH("T_C*ICE*nga*s2",[1]OUT_TransportEnergyCons!$A$4:$A$10000))*1,[1]OUT_TransportEnergyCons!I$4:I$10000)</f>
        <v>0</v>
      </c>
    </row>
    <row r="1947" spans="2:11" x14ac:dyDescent="0.35">
      <c r="B1947" s="5" t="str">
        <f t="shared" si="1247"/>
        <v>SPS2</v>
      </c>
      <c r="C1947" s="5" t="str">
        <f t="shared" si="1245"/>
        <v>CH</v>
      </c>
      <c r="D1947" t="s">
        <v>1970</v>
      </c>
      <c r="E1947" t="str">
        <f t="shared" si="1246"/>
        <v>Million</v>
      </c>
      <c r="F1947" s="1" cm="1">
        <f t="array" ref="F1947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47" s="1" cm="1">
        <f t="array" ref="G1947">SUMPRODUCT(("Var_Cap"=[1]OUT_TransportEnergyCons!$B$4:$B$10000)*1,("-"=[1]OUT_TransportEnergyCons!$C$4:$C$10000)*1,ISNUMBER(SEARCH("T_C*ICE*nga*s3",[1]OUT_TransportEnergyCons!$A$4:$A$10000))*1,[1]OUT_TransportEnergyCons!E$4:E$10000)</f>
        <v>1.6466132860682789E-4</v>
      </c>
      <c r="H1947" s="1" cm="1">
        <f t="array" ref="H1947">SUMPRODUCT(("Var_Cap"=[1]OUT_TransportEnergyCons!$B$4:$B$10000)*1,("-"=[1]OUT_TransportEnergyCons!$C$4:$C$10000)*1,ISNUMBER(SEARCH("T_C*ICE*nga*s3",[1]OUT_TransportEnergyCons!$A$4:$A$10000))*1,[1]OUT_TransportEnergyCons!F$4:F$10000)</f>
        <v>1.7683817786660221E-4</v>
      </c>
      <c r="I1947" s="1" cm="1">
        <f t="array" ref="I1947">SUMPRODUCT(("Var_Cap"=[1]OUT_TransportEnergyCons!$B$4:$B$10000)*1,("-"=[1]OUT_TransportEnergyCons!$C$4:$C$10000)*1,ISNUMBER(SEARCH("T_C*ICE*nga*s3",[1]OUT_TransportEnergyCons!$A$4:$A$10000))*1,[1]OUT_TransportEnergyCons!G$4:G$10000)</f>
        <v>6.0451706103638309E-5</v>
      </c>
      <c r="J1947" s="1" cm="1">
        <f t="array" ref="J1947">SUMPRODUCT(("Var_Cap"=[1]OUT_TransportEnergyCons!$B$4:$B$10000)*1,("-"=[1]OUT_TransportEnergyCons!$C$4:$C$10000)*1,ISNUMBER(SEARCH("T_C*ICE*nga*s3",[1]OUT_TransportEnergyCons!$A$4:$A$10000))*1,[1]OUT_TransportEnergyCons!H$4:H$10000)</f>
        <v>3.1731713639566216E-6</v>
      </c>
      <c r="K1947" s="1" cm="1">
        <f t="array" ref="K1947">SUMPRODUCT(("Var_Cap"=[1]OUT_TransportEnergyCons!$B$4:$B$10000)*1,("-"=[1]OUT_TransportEnergyCons!$C$4:$C$10000)*1,ISNUMBER(SEARCH("T_C*ICE*nga*s3",[1]OUT_TransportEnergyCons!$A$4:$A$10000))*1,[1]OUT_TransportEnergyCons!I$4:I$10000)</f>
        <v>0</v>
      </c>
    </row>
    <row r="1948" spans="2:11" x14ac:dyDescent="0.35">
      <c r="B1948" s="5" t="str">
        <f t="shared" si="1247"/>
        <v>SPS2</v>
      </c>
      <c r="C1948" s="5" t="str">
        <f t="shared" si="1245"/>
        <v>CH</v>
      </c>
      <c r="D1948" t="s">
        <v>1971</v>
      </c>
      <c r="E1948" t="str">
        <f t="shared" si="1246"/>
        <v>Million</v>
      </c>
      <c r="F1948" s="1" cm="1">
        <f t="array" ref="F1948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48" s="1" cm="1">
        <f t="array" ref="G1948">SUMPRODUCT(("Var_Cap"=[1]OUT_TransportEnergyCons!$B$4:$B$10000)*1,("-"=[1]OUT_TransportEnergyCons!$C$4:$C$10000)*1,ISNUMBER(SEARCH("T_C*ICE*nga*s4",[1]OUT_TransportEnergyCons!$A$4:$A$10000))*1,[1]OUT_TransportEnergyCons!E$4:E$10000)</f>
        <v>2.5417120096208252E-3</v>
      </c>
      <c r="H1948" s="1" cm="1">
        <f t="array" ref="H1948">SUMPRODUCT(("Var_Cap"=[1]OUT_TransportEnergyCons!$B$4:$B$10000)*1,("-"=[1]OUT_TransportEnergyCons!$C$4:$C$10000)*1,ISNUMBER(SEARCH("T_C*ICE*nga*s4",[1]OUT_TransportEnergyCons!$A$4:$A$10000))*1,[1]OUT_TransportEnergyCons!F$4:F$10000)</f>
        <v>2.3756271918454414E-3</v>
      </c>
      <c r="I1948" s="1" cm="1">
        <f t="array" ref="I1948">SUMPRODUCT(("Var_Cap"=[1]OUT_TransportEnergyCons!$B$4:$B$10000)*1,("-"=[1]OUT_TransportEnergyCons!$C$4:$C$10000)*1,ISNUMBER(SEARCH("T_C*ICE*nga*s4",[1]OUT_TransportEnergyCons!$A$4:$A$10000))*1,[1]OUT_TransportEnergyCons!G$4:G$10000)</f>
        <v>5.514826628989669E-5</v>
      </c>
      <c r="J1948" s="1" cm="1">
        <f t="array" ref="J1948">SUMPRODUCT(("Var_Cap"=[1]OUT_TransportEnergyCons!$B$4:$B$10000)*1,("-"=[1]OUT_TransportEnergyCons!$C$4:$C$10000)*1,ISNUMBER(SEARCH("T_C*ICE*nga*s4",[1]OUT_TransportEnergyCons!$A$4:$A$10000))*1,[1]OUT_TransportEnergyCons!H$4:H$10000)</f>
        <v>3.4525770381117742E-6</v>
      </c>
      <c r="K1948" s="1" cm="1">
        <f t="array" ref="K1948">SUMPRODUCT(("Var_Cap"=[1]OUT_TransportEnergyCons!$B$4:$B$10000)*1,("-"=[1]OUT_TransportEnergyCons!$C$4:$C$10000)*1,ISNUMBER(SEARCH("T_C*ICE*nga*s4",[1]OUT_TransportEnergyCons!$A$4:$A$10000))*1,[1]OUT_TransportEnergyCons!I$4:I$10000)</f>
        <v>0</v>
      </c>
    </row>
    <row r="1949" spans="2:11" x14ac:dyDescent="0.35">
      <c r="B1949" s="5" t="str">
        <f t="shared" si="1247"/>
        <v>SPS2</v>
      </c>
      <c r="C1949" s="5" t="str">
        <f>C1948</f>
        <v>CH</v>
      </c>
      <c r="D1949" s="2" t="s">
        <v>1974</v>
      </c>
      <c r="E1949" s="2" t="s">
        <v>2000</v>
      </c>
      <c r="F1949" s="3">
        <f>SUM(F1950:F1972)</f>
        <v>5.7285092364890797</v>
      </c>
      <c r="G1949" s="3">
        <f t="shared" ref="G1949:K1949" si="1248">SUM(G1950:G1972)</f>
        <v>5.691848436443359</v>
      </c>
      <c r="H1949" s="3">
        <f t="shared" si="1248"/>
        <v>5.8347332187054883</v>
      </c>
      <c r="I1949" s="3">
        <f t="shared" si="1248"/>
        <v>6.6979845094305421</v>
      </c>
      <c r="J1949" s="3">
        <f t="shared" si="1248"/>
        <v>7.2449061675913375</v>
      </c>
      <c r="K1949" s="3">
        <f t="shared" si="1248"/>
        <v>7.7120573186855585</v>
      </c>
    </row>
    <row r="1950" spans="2:11" x14ac:dyDescent="0.35">
      <c r="B1950" s="5" t="str">
        <f t="shared" si="1247"/>
        <v>SPS2</v>
      </c>
      <c r="C1950" s="5" t="str">
        <f t="shared" ref="C1950:C1972" si="1249">C1949</f>
        <v>CH</v>
      </c>
      <c r="D1950" t="s">
        <v>1979</v>
      </c>
      <c r="E1950" t="s">
        <v>2000</v>
      </c>
      <c r="F1950" s="1" cm="1">
        <f t="array" ref="F1950">(SUMPRODUCT(("Var_Cap"=[1]OUT_TransportEnergyCons!$B$4:$B$10000)*1,ISNUMBER(SEARCH("T_B_u*bev*ext",[1]OUT_TransportEnergyCons!$A$4:$A$10000))*1,[1]OUT_TransportEnergyCons!D$4:D$10000))*1000</f>
        <v>3.7789555006180503E-2</v>
      </c>
      <c r="G1950" s="1" cm="1">
        <f t="array" ref="G1950">(SUMPRODUCT(("Var_Cap"=[1]OUT_TransportEnergyCons!$B$4:$B$10000)*1,ISNUMBER(SEARCH("T_B_u*bev*ext",[1]OUT_TransportEnergyCons!$A$4:$A$10000))*1,[1]OUT_TransportEnergyCons!E$4:E$10000))*1000</f>
        <v>3.0231644004944401E-2</v>
      </c>
      <c r="H1950" s="1" cm="1">
        <f t="array" ref="H1950">(SUMPRODUCT(("Var_Cap"=[1]OUT_TransportEnergyCons!$B$4:$B$10000)*1,ISNUMBER(SEARCH("T_B_u*bev*ext",[1]OUT_TransportEnergyCons!$A$4:$A$10000))*1,[1]OUT_TransportEnergyCons!F$4:F$10000))*1000</f>
        <v>1.8894777503090199E-2</v>
      </c>
      <c r="I1950" s="1" cm="1">
        <f t="array" ref="I1950">(SUMPRODUCT(("Var_Cap"=[1]OUT_TransportEnergyCons!$B$4:$B$10000)*1,ISNUMBER(SEARCH("T_B_u*bev*ext",[1]OUT_TransportEnergyCons!$A$4:$A$10000))*1,[1]OUT_TransportEnergyCons!G$4:G$10000))*1000</f>
        <v>0</v>
      </c>
      <c r="J1950" s="1" cm="1">
        <f t="array" ref="J1950">(SUMPRODUCT(("Var_Cap"=[1]OUT_TransportEnergyCons!$B$4:$B$10000)*1,ISNUMBER(SEARCH("T_B_u*bev*ext",[1]OUT_TransportEnergyCons!$A$4:$A$10000))*1,[1]OUT_TransportEnergyCons!H$4:H$10000))*1000</f>
        <v>0</v>
      </c>
      <c r="K1950" s="1" cm="1">
        <f t="array" ref="K1950">(SUMPRODUCT(("Var_Cap"=[1]OUT_TransportEnergyCons!$B$4:$B$10000)*1,ISNUMBER(SEARCH("T_B_u*bev*ext",[1]OUT_TransportEnergyCons!$A$4:$A$10000))*1,[1]OUT_TransportEnergyCons!I$4:I$10000))*1000</f>
        <v>0</v>
      </c>
    </row>
    <row r="1951" spans="2:11" x14ac:dyDescent="0.35">
      <c r="B1951" s="5" t="str">
        <f t="shared" si="1247"/>
        <v>SPS2</v>
      </c>
      <c r="C1951" s="5" t="str">
        <f t="shared" si="1249"/>
        <v>CH</v>
      </c>
      <c r="D1951" t="s">
        <v>1980</v>
      </c>
      <c r="E1951" t="s">
        <v>2000</v>
      </c>
      <c r="F1951" s="1" cm="1">
        <f t="array" ref="F1951">(SUMPRODUCT(("Var_Cap"=[1]OUT_TransportEnergyCons!$B$4:$B$10000)*1,ISNUMBER(SEARCH("T_B_u*bev*s1",[1]OUT_TransportEnergyCons!$A$4:$A$10000))*1,[1]OUT_TransportEnergyCons!D$4:D$10000))*1000</f>
        <v>3.02390998593531E-5</v>
      </c>
      <c r="G1951" s="1" cm="1">
        <f t="array" ref="G1951">(SUMPRODUCT(("Var_Cap"=[1]OUT_TransportEnergyCons!$B$4:$B$10000)*1,ISNUMBER(SEARCH("T_B_u*bev*s1",[1]OUT_TransportEnergyCons!$A$4:$A$10000))*1,[1]OUT_TransportEnergyCons!E$4:E$10000))*1000</f>
        <v>6.1367387069451357E-2</v>
      </c>
      <c r="H1951" s="1" cm="1">
        <f t="array" ref="H1951">(SUMPRODUCT(("Var_Cap"=[1]OUT_TransportEnergyCons!$B$4:$B$10000)*1,ISNUMBER(SEARCH("T_B_u*bev*s1",[1]OUT_TransportEnergyCons!$A$4:$A$10000))*1,[1]OUT_TransportEnergyCons!F$4:F$10000))*1000</f>
        <v>9.0441381317359598E-2</v>
      </c>
      <c r="I1951" s="1" cm="1">
        <f t="array" ref="I1951">(SUMPRODUCT(("Var_Cap"=[1]OUT_TransportEnergyCons!$B$4:$B$10000)*1,ISNUMBER(SEARCH("T_B_u*bev*s1",[1]OUT_TransportEnergyCons!$A$4:$A$10000))*1,[1]OUT_TransportEnergyCons!G$4:G$10000))*1000</f>
        <v>2.0021299300521389</v>
      </c>
      <c r="J1951" s="1" cm="1">
        <f t="array" ref="J1951">(SUMPRODUCT(("Var_Cap"=[1]OUT_TransportEnergyCons!$B$4:$B$10000)*1,ISNUMBER(SEARCH("T_B_u*bev*s1",[1]OUT_TransportEnergyCons!$A$4:$A$10000))*1,[1]OUT_TransportEnergyCons!H$4:H$10000))*1000</f>
        <v>2.8724115872938483</v>
      </c>
      <c r="K1951" s="1" cm="1">
        <f t="array" ref="K1951">(SUMPRODUCT(("Var_Cap"=[1]OUT_TransportEnergyCons!$B$4:$B$10000)*1,ISNUMBER(SEARCH("T_B_u*bev*s1",[1]OUT_TransportEnergyCons!$A$4:$A$10000))*1,[1]OUT_TransportEnergyCons!I$4:I$10000))*1000</f>
        <v>3.0366939475198467</v>
      </c>
    </row>
    <row r="1952" spans="2:11" x14ac:dyDescent="0.35">
      <c r="B1952" s="5" t="str">
        <f t="shared" si="1247"/>
        <v>SPS2</v>
      </c>
      <c r="C1952" s="5" t="str">
        <f t="shared" si="1249"/>
        <v>CH</v>
      </c>
      <c r="D1952" t="s">
        <v>1981</v>
      </c>
      <c r="E1952" t="s">
        <v>2000</v>
      </c>
      <c r="F1952" s="1" cm="1">
        <f t="array" ref="F1952">(SUMPRODUCT(("Var_Cap"=[1]OUT_TransportEnergyCons!$B$4:$B$10000)*1,ISNUMBER(SEARCH("T_B_u*bev*s2",[1]OUT_TransportEnergyCons!$A$4:$A$10000))*1,[1]OUT_TransportEnergyCons!D$4:D$10000))*1000</f>
        <v>7.8760838936586652E-3</v>
      </c>
      <c r="G1952" s="1" cm="1">
        <f t="array" ref="G1952">(SUMPRODUCT(("Var_Cap"=[1]OUT_TransportEnergyCons!$B$4:$B$10000)*1,ISNUMBER(SEARCH("T_B_u*bev*s2",[1]OUT_TransportEnergyCons!$A$4:$A$10000))*1,[1]OUT_TransportEnergyCons!E$4:E$10000))*1000</f>
        <v>1.7459721338515449E-2</v>
      </c>
      <c r="H1952" s="1" cm="1">
        <f t="array" ref="H1952">(SUMPRODUCT(("Var_Cap"=[1]OUT_TransportEnergyCons!$B$4:$B$10000)*1,ISNUMBER(SEARCH("T_B_u*bev*s2",[1]OUT_TransportEnergyCons!$A$4:$A$10000))*1,[1]OUT_TransportEnergyCons!F$4:F$10000))*1000</f>
        <v>5.2112955518009589E-2</v>
      </c>
      <c r="I1952" s="1" cm="1">
        <f t="array" ref="I1952">(SUMPRODUCT(("Var_Cap"=[1]OUT_TransportEnergyCons!$B$4:$B$10000)*1,ISNUMBER(SEARCH("T_B_u*bev*s2",[1]OUT_TransportEnergyCons!$A$4:$A$10000))*1,[1]OUT_TransportEnergyCons!G$4:G$10000))*1000</f>
        <v>0.7512470307345761</v>
      </c>
      <c r="J1952" s="1" cm="1">
        <f t="array" ref="J1952">(SUMPRODUCT(("Var_Cap"=[1]OUT_TransportEnergyCons!$B$4:$B$10000)*1,ISNUMBER(SEARCH("T_B_u*bev*s2",[1]OUT_TransportEnergyCons!$A$4:$A$10000))*1,[1]OUT_TransportEnergyCons!H$4:H$10000))*1000</f>
        <v>0.81513976688513601</v>
      </c>
      <c r="K1952" s="1" cm="1">
        <f t="array" ref="K1952">(SUMPRODUCT(("Var_Cap"=[1]OUT_TransportEnergyCons!$B$4:$B$10000)*1,ISNUMBER(SEARCH("T_B_u*bev*s2",[1]OUT_TransportEnergyCons!$A$4:$A$10000))*1,[1]OUT_TransportEnergyCons!I$4:I$10000))*1000</f>
        <v>0.87107655922410221</v>
      </c>
    </row>
    <row r="1953" spans="2:11" x14ac:dyDescent="0.35">
      <c r="B1953" s="5" t="str">
        <f t="shared" si="1247"/>
        <v>SPS2</v>
      </c>
      <c r="C1953" s="5" t="str">
        <f t="shared" si="1249"/>
        <v>CH</v>
      </c>
      <c r="D1953" t="s">
        <v>1982</v>
      </c>
      <c r="E1953" t="s">
        <v>2000</v>
      </c>
      <c r="F1953" s="1" cm="1">
        <f t="array" ref="F1953">(SUMPRODUCT(("Var_Cap"=[1]OUT_TransportEnergyCons!$B$4:$B$10000)*1,ISNUMBER(SEARCH("T_B_u*bev*s3",[1]OUT_TransportEnergyCons!$A$4:$A$10000))*1,[1]OUT_TransportEnergyCons!D$4:D$10000))*1000</f>
        <v>3.4357332082970683E-2</v>
      </c>
      <c r="G1953" s="1" cm="1">
        <f t="array" ref="G1953">(SUMPRODUCT(("Var_Cap"=[1]OUT_TransportEnergyCons!$B$4:$B$10000)*1,ISNUMBER(SEARCH("T_B_u*bev*s3",[1]OUT_TransportEnergyCons!$A$4:$A$10000))*1,[1]OUT_TransportEnergyCons!E$4:E$10000))*1000</f>
        <v>5.1383134884323063E-2</v>
      </c>
      <c r="H1953" s="1" cm="1">
        <f t="array" ref="H1953">(SUMPRODUCT(("Var_Cap"=[1]OUT_TransportEnergyCons!$B$4:$B$10000)*1,ISNUMBER(SEARCH("T_B_u*bev*s3",[1]OUT_TransportEnergyCons!$A$4:$A$10000))*1,[1]OUT_TransportEnergyCons!F$4:F$10000))*1000</f>
        <v>6.7414058138527799E-2</v>
      </c>
      <c r="I1953" s="1" cm="1">
        <f t="array" ref="I1953">(SUMPRODUCT(("Var_Cap"=[1]OUT_TransportEnergyCons!$B$4:$B$10000)*1,ISNUMBER(SEARCH("T_B_u*bev*s3",[1]OUT_TransportEnergyCons!$A$4:$A$10000))*1,[1]OUT_TransportEnergyCons!G$4:G$10000))*1000</f>
        <v>3.5213679624915017</v>
      </c>
      <c r="J1953" s="1" cm="1">
        <f t="array" ref="J1953">(SUMPRODUCT(("Var_Cap"=[1]OUT_TransportEnergyCons!$B$4:$B$10000)*1,ISNUMBER(SEARCH("T_B_u*bev*s3",[1]OUT_TransportEnergyCons!$A$4:$A$10000))*1,[1]OUT_TransportEnergyCons!H$4:H$10000))*1000</f>
        <v>3.5556135918883487</v>
      </c>
      <c r="K1953" s="1" cm="1">
        <f t="array" ref="K1953">(SUMPRODUCT(("Var_Cap"=[1]OUT_TransportEnergyCons!$B$4:$B$10000)*1,ISNUMBER(SEARCH("T_B_u*bev*s3",[1]OUT_TransportEnergyCons!$A$4:$A$10000))*1,[1]OUT_TransportEnergyCons!I$4:I$10000))*1000</f>
        <v>3.8032799851066499</v>
      </c>
    </row>
    <row r="1954" spans="2:11" x14ac:dyDescent="0.35">
      <c r="B1954" s="5" t="str">
        <f t="shared" si="1247"/>
        <v>SPS2</v>
      </c>
      <c r="C1954" s="5" t="str">
        <f t="shared" si="1249"/>
        <v>CH</v>
      </c>
      <c r="D1954" t="s">
        <v>1983</v>
      </c>
      <c r="E1954" t="s">
        <v>2000</v>
      </c>
      <c r="F1954" s="1" cm="1">
        <f t="array" ref="F1954">(SUMPRODUCT(("Var_Cap"=[1]OUT_TransportEnergyCons!$B$4:$B$10000)*1,ISNUMBER(SEARCH("T_B_u*bev*s4",[1]OUT_TransportEnergyCons!$A$4:$A$10000))*1,[1]OUT_TransportEnergyCons!D$4:D$10000))*1000</f>
        <v>4.2334739803094297E-4</v>
      </c>
      <c r="G1954" s="1" cm="1">
        <f t="array" ref="G1954">(SUMPRODUCT(("Var_Cap"=[1]OUT_TransportEnergyCons!$B$4:$B$10000)*1,ISNUMBER(SEARCH("T_B_u*bev*s4",[1]OUT_TransportEnergyCons!$A$4:$A$10000))*1,[1]OUT_TransportEnergyCons!E$4:E$10000))*1000</f>
        <v>1.4794603789804709E-3</v>
      </c>
      <c r="H1954" s="1" cm="1">
        <f t="array" ref="H1954">(SUMPRODUCT(("Var_Cap"=[1]OUT_TransportEnergyCons!$B$4:$B$10000)*1,ISNUMBER(SEARCH("T_B_u*bev*s4",[1]OUT_TransportEnergyCons!$A$4:$A$10000))*1,[1]OUT_TransportEnergyCons!F$4:F$10000))*1000</f>
        <v>2.6494406413831773E-3</v>
      </c>
      <c r="I1954" s="1" cm="1">
        <f t="array" ref="I1954">(SUMPRODUCT(("Var_Cap"=[1]OUT_TransportEnergyCons!$B$4:$B$10000)*1,ISNUMBER(SEARCH("T_B_u*bev*s4",[1]OUT_TransportEnergyCons!$A$4:$A$10000))*1,[1]OUT_TransportEnergyCons!G$4:G$10000))*1000</f>
        <v>0.42280328259136757</v>
      </c>
      <c r="J1954" s="1" cm="1">
        <f t="array" ref="J1954">(SUMPRODUCT(("Var_Cap"=[1]OUT_TransportEnergyCons!$B$4:$B$10000)*1,ISNUMBER(SEARCH("T_B_u*bev*s4",[1]OUT_TransportEnergyCons!$A$4:$A$10000))*1,[1]OUT_TransportEnergyCons!H$4:H$10000))*1000</f>
        <v>1.7139424024593701E-3</v>
      </c>
      <c r="K1954" s="1" cm="1">
        <f t="array" ref="K1954">(SUMPRODUCT(("Var_Cap"=[1]OUT_TransportEnergyCons!$B$4:$B$10000)*1,ISNUMBER(SEARCH("T_B_u*bev*s4",[1]OUT_TransportEnergyCons!$A$4:$A$10000))*1,[1]OUT_TransportEnergyCons!I$4:I$10000))*1000</f>
        <v>7.8082061200306725E-4</v>
      </c>
    </row>
    <row r="1955" spans="2:11" x14ac:dyDescent="0.35">
      <c r="B1955" s="5" t="str">
        <f t="shared" si="1247"/>
        <v>SPS2</v>
      </c>
      <c r="C1955" s="5" t="str">
        <f t="shared" si="1249"/>
        <v>CH</v>
      </c>
      <c r="D1955" t="s">
        <v>1984</v>
      </c>
      <c r="E1955" t="s">
        <v>2000</v>
      </c>
      <c r="F1955" s="1" cm="1">
        <f t="array" ref="F1955">(SUMPRODUCT(("Var_Cap"=[1]OUT_TransportEnergyCons!$B$4:$B$10000)*1,ISNUMBER(SEARCH("T_B_u*h2o*s1",[1]OUT_TransportEnergyCons!$A$4:$A$10000))*1,[1]OUT_TransportEnergyCons!D$4:D$10000))*1000</f>
        <v>0</v>
      </c>
      <c r="G1955" s="1" cm="1">
        <f t="array" ref="G1955">(SUMPRODUCT(("Var_Cap"=[1]OUT_TransportEnergyCons!$B$4:$B$10000)*1,ISNUMBER(SEARCH("T_B_u*h2o*s1",[1]OUT_TransportEnergyCons!$A$4:$A$10000))*1,[1]OUT_TransportEnergyCons!E$4:E$10000))*1000</f>
        <v>0</v>
      </c>
      <c r="H1955" s="1" cm="1">
        <f t="array" ref="H1955">(SUMPRODUCT(("Var_Cap"=[1]OUT_TransportEnergyCons!$B$4:$B$10000)*1,ISNUMBER(SEARCH("T_B_u*h2o*s1",[1]OUT_TransportEnergyCons!$A$4:$A$10000))*1,[1]OUT_TransportEnergyCons!F$4:F$10000))*1000</f>
        <v>0</v>
      </c>
      <c r="I1955" s="1" cm="1">
        <f t="array" ref="I1955">(SUMPRODUCT(("Var_Cap"=[1]OUT_TransportEnergyCons!$B$4:$B$10000)*1,ISNUMBER(SEARCH("T_B_u*h2o*s1",[1]OUT_TransportEnergyCons!$A$4:$A$10000))*1,[1]OUT_TransportEnergyCons!G$4:G$10000))*1000</f>
        <v>1.09704604941593E-4</v>
      </c>
      <c r="J1955" s="1" cm="1">
        <f t="array" ref="J1955">(SUMPRODUCT(("Var_Cap"=[1]OUT_TransportEnergyCons!$B$4:$B$10000)*1,ISNUMBER(SEARCH("T_B_u*h2o*s1",[1]OUT_TransportEnergyCons!$A$4:$A$10000))*1,[1]OUT_TransportEnergyCons!H$4:H$10000))*1000</f>
        <v>1.2603644242609711E-4</v>
      </c>
      <c r="K1955" s="1" cm="1">
        <f t="array" ref="K1955">(SUMPRODUCT(("Var_Cap"=[1]OUT_TransportEnergyCons!$B$4:$B$10000)*1,ISNUMBER(SEARCH("T_B_u*h2o*s1",[1]OUT_TransportEnergyCons!$A$4:$A$10000))*1,[1]OUT_TransportEnergyCons!I$4:I$10000))*1000</f>
        <v>9.98532365539805E-5</v>
      </c>
    </row>
    <row r="1956" spans="2:11" x14ac:dyDescent="0.35">
      <c r="B1956" s="5" t="str">
        <f t="shared" si="1247"/>
        <v>SPS2</v>
      </c>
      <c r="C1956" s="5" t="str">
        <f t="shared" si="1249"/>
        <v>CH</v>
      </c>
      <c r="D1956" t="s">
        <v>1985</v>
      </c>
      <c r="E1956" t="s">
        <v>2000</v>
      </c>
      <c r="F1956" s="1" cm="1">
        <f t="array" ref="F1956">(SUMPRODUCT(("Var_Cap"=[1]OUT_TransportEnergyCons!$B$4:$B$10000)*1,ISNUMBER(SEARCH("T_B_u*h2o*s2",[1]OUT_TransportEnergyCons!$A$4:$A$10000))*1,[1]OUT_TransportEnergyCons!D$4:D$10000))*1000</f>
        <v>0</v>
      </c>
      <c r="G1956" s="1" cm="1">
        <f t="array" ref="G1956">(SUMPRODUCT(("Var_Cap"=[1]OUT_TransportEnergyCons!$B$4:$B$10000)*1,ISNUMBER(SEARCH("T_B_u*h2o*s2",[1]OUT_TransportEnergyCons!$A$4:$A$10000))*1,[1]OUT_TransportEnergyCons!E$4:E$10000))*1000</f>
        <v>0</v>
      </c>
      <c r="H1956" s="1" cm="1">
        <f t="array" ref="H1956">(SUMPRODUCT(("Var_Cap"=[1]OUT_TransportEnergyCons!$B$4:$B$10000)*1,ISNUMBER(SEARCH("T_B_u*h2o*s2",[1]OUT_TransportEnergyCons!$A$4:$A$10000))*1,[1]OUT_TransportEnergyCons!F$4:F$10000))*1000</f>
        <v>0</v>
      </c>
      <c r="I1956" s="1" cm="1">
        <f t="array" ref="I1956">(SUMPRODUCT(("Var_Cap"=[1]OUT_TransportEnergyCons!$B$4:$B$10000)*1,ISNUMBER(SEARCH("T_B_u*h2o*s2",[1]OUT_TransportEnergyCons!$A$4:$A$10000))*1,[1]OUT_TransportEnergyCons!G$4:G$10000))*1000</f>
        <v>3.5824295225495202E-5</v>
      </c>
      <c r="J1956" s="1" cm="1">
        <f t="array" ref="J1956">(SUMPRODUCT(("Var_Cap"=[1]OUT_TransportEnergyCons!$B$4:$B$10000)*1,ISNUMBER(SEARCH("T_B_u*h2o*s2",[1]OUT_TransportEnergyCons!$A$4:$A$10000))*1,[1]OUT_TransportEnergyCons!H$4:H$10000))*1000</f>
        <v>1.79811053300587E-5</v>
      </c>
      <c r="K1956" s="1" cm="1">
        <f t="array" ref="K1956">(SUMPRODUCT(("Var_Cap"=[1]OUT_TransportEnergyCons!$B$4:$B$10000)*1,ISNUMBER(SEARCH("T_B_u*h2o*s2",[1]OUT_TransportEnergyCons!$A$4:$A$10000))*1,[1]OUT_TransportEnergyCons!I$4:I$10000))*1000</f>
        <v>5.3968460547480098E-5</v>
      </c>
    </row>
    <row r="1957" spans="2:11" x14ac:dyDescent="0.35">
      <c r="B1957" s="5" t="str">
        <f t="shared" si="1247"/>
        <v>SPS2</v>
      </c>
      <c r="C1957" s="5" t="str">
        <f t="shared" si="1249"/>
        <v>CH</v>
      </c>
      <c r="D1957" t="s">
        <v>1986</v>
      </c>
      <c r="E1957" t="s">
        <v>2000</v>
      </c>
      <c r="F1957" s="1" cm="1">
        <f t="array" ref="F1957">(SUMPRODUCT(("Var_Cap"=[1]OUT_TransportEnergyCons!$B$4:$B$10000)*1,ISNUMBER(SEARCH("T_B_u*h2o*s3",[1]OUT_TransportEnergyCons!$A$4:$A$10000))*1,[1]OUT_TransportEnergyCons!D$4:D$10000))*1000</f>
        <v>0</v>
      </c>
      <c r="G1957" s="1" cm="1">
        <f t="array" ref="G1957">(SUMPRODUCT(("Var_Cap"=[1]OUT_TransportEnergyCons!$B$4:$B$10000)*1,ISNUMBER(SEARCH("T_B_u*h2o*s3",[1]OUT_TransportEnergyCons!$A$4:$A$10000))*1,[1]OUT_TransportEnergyCons!E$4:E$10000))*1000</f>
        <v>0</v>
      </c>
      <c r="H1957" s="1" cm="1">
        <f t="array" ref="H1957">(SUMPRODUCT(("Var_Cap"=[1]OUT_TransportEnergyCons!$B$4:$B$10000)*1,ISNUMBER(SEARCH("T_B_u*h2o*s3",[1]OUT_TransportEnergyCons!$A$4:$A$10000))*1,[1]OUT_TransportEnergyCons!F$4:F$10000))*1000</f>
        <v>0</v>
      </c>
      <c r="I1957" s="1" cm="1">
        <f t="array" ref="I1957">(SUMPRODUCT(("Var_Cap"=[1]OUT_TransportEnergyCons!$B$4:$B$10000)*1,ISNUMBER(SEARCH("T_B_u*h2o*s3",[1]OUT_TransportEnergyCons!$A$4:$A$10000))*1,[1]OUT_TransportEnergyCons!G$4:G$10000))*1000</f>
        <v>2.92229166047214E-5</v>
      </c>
      <c r="J1957" s="1" cm="1">
        <f t="array" ref="J1957">(SUMPRODUCT(("Var_Cap"=[1]OUT_TransportEnergyCons!$B$4:$B$10000)*1,ISNUMBER(SEARCH("T_B_u*h2o*s3",[1]OUT_TransportEnergyCons!$A$4:$A$10000))*1,[1]OUT_TransportEnergyCons!H$4:H$10000))*1000</f>
        <v>-4.9756473579269295E-5</v>
      </c>
      <c r="K1957" s="1" cm="1">
        <f t="array" ref="K1957">(SUMPRODUCT(("Var_Cap"=[1]OUT_TransportEnergyCons!$B$4:$B$10000)*1,ISNUMBER(SEARCH("T_B_u*h2o*s3",[1]OUT_TransportEnergyCons!$A$4:$A$10000))*1,[1]OUT_TransportEnergyCons!I$4:I$10000))*1000</f>
        <v>-4.8680705095498171E-5</v>
      </c>
    </row>
    <row r="1958" spans="2:11" x14ac:dyDescent="0.35">
      <c r="B1958" s="5" t="str">
        <f t="shared" si="1247"/>
        <v>SPS2</v>
      </c>
      <c r="C1958" s="5" t="str">
        <f t="shared" si="1249"/>
        <v>CH</v>
      </c>
      <c r="D1958" t="s">
        <v>1987</v>
      </c>
      <c r="E1958" t="s">
        <v>2000</v>
      </c>
      <c r="F1958" s="1" cm="1">
        <f t="array" ref="F1958">(SUMPRODUCT(("Var_Cap"=[1]OUT_TransportEnergyCons!$B$4:$B$10000)*1,ISNUMBER(SEARCH("T_B_u*h2o*s4",[1]OUT_TransportEnergyCons!$A$4:$A$10000))*1,[1]OUT_TransportEnergyCons!D$4:D$10000))*1000</f>
        <v>0</v>
      </c>
      <c r="G1958" s="1" cm="1">
        <f t="array" ref="G1958">(SUMPRODUCT(("Var_Cap"=[1]OUT_TransportEnergyCons!$B$4:$B$10000)*1,ISNUMBER(SEARCH("T_B_u*h2o*s4",[1]OUT_TransportEnergyCons!$A$4:$A$10000))*1,[1]OUT_TransportEnergyCons!E$4:E$10000))*1000</f>
        <v>0</v>
      </c>
      <c r="H1958" s="1" cm="1">
        <f t="array" ref="H1958">(SUMPRODUCT(("Var_Cap"=[1]OUT_TransportEnergyCons!$B$4:$B$10000)*1,ISNUMBER(SEARCH("T_B_u*h2o*s4",[1]OUT_TransportEnergyCons!$A$4:$A$10000))*1,[1]OUT_TransportEnergyCons!F$4:F$10000))*1000</f>
        <v>0</v>
      </c>
      <c r="I1958" s="1" cm="1">
        <f t="array" ref="I1958">(SUMPRODUCT(("Var_Cap"=[1]OUT_TransportEnergyCons!$B$4:$B$10000)*1,ISNUMBER(SEARCH("T_B_u*h2o*s4",[1]OUT_TransportEnergyCons!$A$4:$A$10000))*1,[1]OUT_TransportEnergyCons!G$4:G$10000))*1000</f>
        <v>1.5577316462874298E-5</v>
      </c>
      <c r="J1958" s="1" cm="1">
        <f t="array" ref="J1958">(SUMPRODUCT(("Var_Cap"=[1]OUT_TransportEnergyCons!$B$4:$B$10000)*1,ISNUMBER(SEARCH("T_B_u*h2o*s4",[1]OUT_TransportEnergyCons!$A$4:$A$10000))*1,[1]OUT_TransportEnergyCons!H$4:H$10000))*1000</f>
        <v>-5.4821024500008599E-5</v>
      </c>
      <c r="K1958" s="1" cm="1">
        <f t="array" ref="K1958">(SUMPRODUCT(("Var_Cap"=[1]OUT_TransportEnergyCons!$B$4:$B$10000)*1,ISNUMBER(SEARCH("T_B_u*h2o*s4",[1]OUT_TransportEnergyCons!$A$4:$A$10000))*1,[1]OUT_TransportEnergyCons!I$4:I$10000))*1000</f>
        <v>-4.8144687298384504E-5</v>
      </c>
    </row>
    <row r="1959" spans="2:11" x14ac:dyDescent="0.35">
      <c r="B1959" s="5" t="str">
        <f t="shared" si="1247"/>
        <v>SPS2</v>
      </c>
      <c r="C1959" s="5" t="str">
        <f t="shared" si="1249"/>
        <v>CH</v>
      </c>
      <c r="D1959" t="s">
        <v>1988</v>
      </c>
      <c r="E1959" t="s">
        <v>2000</v>
      </c>
      <c r="F1959" s="1" cm="1">
        <f t="array" ref="F1959">(SUMPRODUCT(("Var_Cap"=[1]OUT_TransportEnergyCons!$B$4:$B$10000)*1,ISNUMBER(SEARCH("T_B_u*hyb*DSL*s1",[1]OUT_TransportEnergyCons!$A$4:$A$10000))*1,[1]OUT_TransportEnergyCons!D$4:D$10000))*1000</f>
        <v>0</v>
      </c>
      <c r="G1959" s="1" cm="1">
        <f t="array" ref="G1959">(SUMPRODUCT(("Var_Cap"=[1]OUT_TransportEnergyCons!$B$4:$B$10000)*1,ISNUMBER(SEARCH("T_B_u*hyb*DSL*s1",[1]OUT_TransportEnergyCons!$A$4:$A$10000))*1,[1]OUT_TransportEnergyCons!E$4:E$10000))*1000</f>
        <v>7.4576303729543492E-2</v>
      </c>
      <c r="H1959" s="1" cm="1">
        <f t="array" ref="H1959">(SUMPRODUCT(("Var_Cap"=[1]OUT_TransportEnergyCons!$B$4:$B$10000)*1,ISNUMBER(SEARCH("T_B_u*hyb*DSL*s1",[1]OUT_TransportEnergyCons!$A$4:$A$10000))*1,[1]OUT_TransportEnergyCons!F$4:F$10000))*1000</f>
        <v>7.9095329688955385E-2</v>
      </c>
      <c r="I1959" s="1" cm="1">
        <f t="array" ref="I1959">(SUMPRODUCT(("Var_Cap"=[1]OUT_TransportEnergyCons!$B$4:$B$10000)*1,ISNUMBER(SEARCH("T_B_u*hyb*DSL*s1",[1]OUT_TransportEnergyCons!$A$4:$A$10000))*1,[1]OUT_TransportEnergyCons!G$4:G$10000))*1000</f>
        <v>9.4803110935030334E-6</v>
      </c>
      <c r="J1959" s="1" cm="1">
        <f t="array" ref="J1959">(SUMPRODUCT(("Var_Cap"=[1]OUT_TransportEnergyCons!$B$4:$B$10000)*1,ISNUMBER(SEARCH("T_B_u*hyb*DSL*s1",[1]OUT_TransportEnergyCons!$A$4:$A$10000))*1,[1]OUT_TransportEnergyCons!H$4:H$10000))*1000</f>
        <v>3.4056180369754987E-5</v>
      </c>
      <c r="K1959" s="1" cm="1">
        <f t="array" ref="K1959">(SUMPRODUCT(("Var_Cap"=[1]OUT_TransportEnergyCons!$B$4:$B$10000)*1,ISNUMBER(SEARCH("T_B_u*hyb*DSL*s1",[1]OUT_TransportEnergyCons!$A$4:$A$10000))*1,[1]OUT_TransportEnergyCons!I$4:I$10000))*1000</f>
        <v>2.79097685015431E-5</v>
      </c>
    </row>
    <row r="1960" spans="2:11" x14ac:dyDescent="0.35">
      <c r="B1960" s="5" t="str">
        <f t="shared" si="1247"/>
        <v>SPS2</v>
      </c>
      <c r="C1960" s="5" t="str">
        <f t="shared" si="1249"/>
        <v>CH</v>
      </c>
      <c r="D1960" t="s">
        <v>1989</v>
      </c>
      <c r="E1960" t="s">
        <v>2000</v>
      </c>
      <c r="F1960" s="1" cm="1">
        <f t="array" ref="F1960">(SUMPRODUCT(("Var_Cap"=[1]OUT_TransportEnergyCons!$B$4:$B$10000)*1,ISNUMBER(SEARCH("T_B_u*hyb*DSL*s2",[1]OUT_TransportEnergyCons!$A$4:$A$10000))*1,[1]OUT_TransportEnergyCons!D$4:D$10000))*1000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(SUMPRODUCT(("Var_Cap"=[1]OUT_TransportEnergyCons!$B$4:$B$10000)*1,ISNUMBER(SEARCH("T_B_u*hyb*DSL*s2",[1]OUT_TransportEnergyCons!$A$4:$A$10000))*1,[1]OUT_TransportEnergyCons!E$4:E$10000))*1000</f>
        <v>2.1156401390161898E-3</v>
      </c>
      <c r="H1960" s="1" cm="1">
        <f t="array" ref="H1960">(SUMPRODUCT(("Var_Cap"=[1]OUT_TransportEnergyCons!$B$4:$B$10000)*1,ISNUMBER(SEARCH("T_B_u*hyb*DSL*s2",[1]OUT_TransportEnergyCons!$A$4:$A$10000))*1,[1]OUT_TransportEnergyCons!F$4:F$10000))*1000</f>
        <v>3.7239757105897303E-3</v>
      </c>
      <c r="I1960" s="1" cm="1">
        <f t="array" ref="I1960">(SUMPRODUCT(("Var_Cap"=[1]OUT_TransportEnergyCons!$B$4:$B$10000)*1,ISNUMBER(SEARCH("T_B_u*hyb*DSL*s2",[1]OUT_TransportEnergyCons!$A$4:$A$10000))*1,[1]OUT_TransportEnergyCons!G$4:G$10000))*1000</f>
        <v>-1.6779512377389811E-5</v>
      </c>
      <c r="J1960" s="1" cm="1">
        <f t="array" ref="J1960">(SUMPRODUCT(("Var_Cap"=[1]OUT_TransportEnergyCons!$B$4:$B$10000)*1,ISNUMBER(SEARCH("T_B_u*hyb*DSL*s2",[1]OUT_TransportEnergyCons!$A$4:$A$10000))*1,[1]OUT_TransportEnergyCons!H$4:H$10000))*1000</f>
        <v>-3.0950066585729802E-5</v>
      </c>
      <c r="K1960" s="1" cm="1">
        <f t="array" ref="K1960">(SUMPRODUCT(("Var_Cap"=[1]OUT_TransportEnergyCons!$B$4:$B$10000)*1,ISNUMBER(SEARCH("T_B_u*hyb*DSL*s2",[1]OUT_TransportEnergyCons!$A$4:$A$10000))*1,[1]OUT_TransportEnergyCons!I$4:I$10000))*1000</f>
        <v>4.7463359866174401E-6</v>
      </c>
    </row>
    <row r="1961" spans="2:11" x14ac:dyDescent="0.35">
      <c r="B1961" s="5" t="str">
        <f t="shared" si="1247"/>
        <v>SPS2</v>
      </c>
      <c r="C1961" s="5" t="str">
        <f t="shared" si="1249"/>
        <v>CH</v>
      </c>
      <c r="D1961" t="s">
        <v>1990</v>
      </c>
      <c r="E1961" t="s">
        <v>2000</v>
      </c>
      <c r="F1961" s="1" cm="1">
        <f t="array" ref="F1961">(SUMPRODUCT(("Var_Cap"=[1]OUT_TransportEnergyCons!$B$4:$B$10000)*1,ISNUMBER(SEARCH("T_B_u*hyb*DSL*s3",[1]OUT_TransportEnergyCons!$A$4:$A$10000))*1,[1]OUT_TransportEnergyCons!D$4:D$10000))*1000</f>
        <v>0</v>
      </c>
      <c r="G1961" s="1" cm="1">
        <f t="array" ref="G1961">(SUMPRODUCT(("Var_Cap"=[1]OUT_TransportEnergyCons!$B$4:$B$10000)*1,ISNUMBER(SEARCH("T_B_u*hyb*DSL*s3",[1]OUT_TransportEnergyCons!$A$4:$A$10000))*1,[1]OUT_TransportEnergyCons!E$4:E$10000))*1000</f>
        <v>2.2548076054410802E-3</v>
      </c>
      <c r="H1961" s="1" cm="1">
        <f t="array" ref="H1961">(SUMPRODUCT(("Var_Cap"=[1]OUT_TransportEnergyCons!$B$4:$B$10000)*1,ISNUMBER(SEARCH("T_B_u*hyb*DSL*s3",[1]OUT_TransportEnergyCons!$A$4:$A$10000))*1,[1]OUT_TransportEnergyCons!F$4:F$10000))*1000</f>
        <v>3.4116246572509596E-3</v>
      </c>
      <c r="I1961" s="1" cm="1">
        <f t="array" ref="I1961">(SUMPRODUCT(("Var_Cap"=[1]OUT_TransportEnergyCons!$B$4:$B$10000)*1,ISNUMBER(SEARCH("T_B_u*hyb*DSL*s3",[1]OUT_TransportEnergyCons!$A$4:$A$10000))*1,[1]OUT_TransportEnergyCons!G$4:G$10000))*1000</f>
        <v>-2.330405717599995E-5</v>
      </c>
      <c r="J1961" s="1" cm="1">
        <f t="array" ref="J1961">(SUMPRODUCT(("Var_Cap"=[1]OUT_TransportEnergyCons!$B$4:$B$10000)*1,ISNUMBER(SEARCH("T_B_u*hyb*DSL*s3",[1]OUT_TransportEnergyCons!$A$4:$A$10000))*1,[1]OUT_TransportEnergyCons!H$4:H$10000))*1000</f>
        <v>-3.2370220317386402E-5</v>
      </c>
      <c r="K1961" s="1" cm="1">
        <f t="array" ref="K1961">(SUMPRODUCT(("Var_Cap"=[1]OUT_TransportEnergyCons!$B$4:$B$10000)*1,ISNUMBER(SEARCH("T_B_u*hyb*DSL*s3",[1]OUT_TransportEnergyCons!$A$4:$A$10000))*1,[1]OUT_TransportEnergyCons!I$4:I$10000))*1000</f>
        <v>7.4231403373272294E-6</v>
      </c>
    </row>
    <row r="1962" spans="2:11" x14ac:dyDescent="0.35">
      <c r="B1962" s="5" t="str">
        <f t="shared" si="1247"/>
        <v>SPS2</v>
      </c>
      <c r="C1962" s="5" t="str">
        <f t="shared" si="1249"/>
        <v>CH</v>
      </c>
      <c r="D1962" t="s">
        <v>1991</v>
      </c>
      <c r="E1962" t="s">
        <v>2000</v>
      </c>
      <c r="F1962" s="1" cm="1">
        <f t="array" ref="F1962">(SUMPRODUCT(("Var_Cap"=[1]OUT_TransportEnergyCons!$B$4:$B$10000)*1,ISNUMBER(SEARCH("T_B_u*hyb*DSL*s4",[1]OUT_TransportEnergyCons!$A$4:$A$10000))*1,[1]OUT_TransportEnergyCons!D$4:D$10000))*1000</f>
        <v>0</v>
      </c>
      <c r="G1962" s="1" cm="1">
        <f t="array" ref="G1962">(SUMPRODUCT(("Var_Cap"=[1]OUT_TransportEnergyCons!$B$4:$B$10000)*1,ISNUMBER(SEARCH("T_B_u*hyb*DSL*s4",[1]OUT_TransportEnergyCons!$A$4:$A$10000))*1,[1]OUT_TransportEnergyCons!E$4:E$10000))*1000</f>
        <v>8.5132786443835602E-5</v>
      </c>
      <c r="H1962" s="1" cm="1">
        <f t="array" ref="H1962">(SUMPRODUCT(("Var_Cap"=[1]OUT_TransportEnergyCons!$B$4:$B$10000)*1,ISNUMBER(SEARCH("T_B_u*hyb*DSL*s4",[1]OUT_TransportEnergyCons!$A$4:$A$10000))*1,[1]OUT_TransportEnergyCons!F$4:F$10000))*1000</f>
        <v>1.5886068613754601E-4</v>
      </c>
      <c r="I1962" s="1" cm="1">
        <f t="array" ref="I1962">(SUMPRODUCT(("Var_Cap"=[1]OUT_TransportEnergyCons!$B$4:$B$10000)*1,ISNUMBER(SEARCH("T_B_u*hyb*DSL*s4",[1]OUT_TransportEnergyCons!$A$4:$A$10000))*1,[1]OUT_TransportEnergyCons!G$4:G$10000))*1000</f>
        <v>-1.6658413830741809E-5</v>
      </c>
      <c r="J1962" s="1" cm="1">
        <f t="array" ref="J1962">(SUMPRODUCT(("Var_Cap"=[1]OUT_TransportEnergyCons!$B$4:$B$10000)*1,ISNUMBER(SEARCH("T_B_u*hyb*DSL*s4",[1]OUT_TransportEnergyCons!$A$4:$A$10000))*1,[1]OUT_TransportEnergyCons!H$4:H$10000))*1000</f>
        <v>-3.1086567470592299E-5</v>
      </c>
      <c r="K1962" s="1" cm="1">
        <f t="array" ref="K1962">(SUMPRODUCT(("Var_Cap"=[1]OUT_TransportEnergyCons!$B$4:$B$10000)*1,ISNUMBER(SEARCH("T_B_u*hyb*DSL*s4",[1]OUT_TransportEnergyCons!$A$4:$A$10000))*1,[1]OUT_TransportEnergyCons!I$4:I$10000))*1000</f>
        <v>0</v>
      </c>
    </row>
    <row r="1963" spans="2:11" x14ac:dyDescent="0.35">
      <c r="B1963" s="5" t="str">
        <f t="shared" si="1247"/>
        <v>SPS2</v>
      </c>
      <c r="C1963" s="5" t="str">
        <f t="shared" si="1249"/>
        <v>CH</v>
      </c>
      <c r="D1963" t="s">
        <v>2004</v>
      </c>
      <c r="E1963" t="s">
        <v>2000</v>
      </c>
      <c r="F1963" s="1" cm="1">
        <f t="array" ref="F1963">(SUMPRODUCT(("Var_Cap"=[1]OUT_TransportEnergyCons!$B$4:$B$10000)*1,ISNUMBER(SEARCH("T_B_u*ICE*DSL*ext",[1]OUT_TransportEnergyCons!$A$4:$A$10000))*1,[1]OUT_TransportEnergyCons!D$4:D$10000))*1000</f>
        <v>4.5678362175525304</v>
      </c>
      <c r="G1963" s="1" cm="1">
        <f t="array" ref="G1963">(SUMPRODUCT(("Var_Cap"=[1]OUT_TransportEnergyCons!$B$4:$B$10000)*1,ISNUMBER(SEARCH("T_B_u*ICE*DSL*ext",[1]OUT_TransportEnergyCons!$A$4:$A$10000))*1,[1]OUT_TransportEnergyCons!E$4:E$10000))*1000</f>
        <v>3.65426897404202</v>
      </c>
      <c r="H1963" s="1" cm="1">
        <f t="array" ref="H1963">(SUMPRODUCT(("Var_Cap"=[1]OUT_TransportEnergyCons!$B$4:$B$10000)*1,ISNUMBER(SEARCH("T_B_u*ICE*DSL*ext",[1]OUT_TransportEnergyCons!$A$4:$A$10000))*1,[1]OUT_TransportEnergyCons!F$4:F$10000))*1000</f>
        <v>2.2834649076143014</v>
      </c>
      <c r="I1963" s="1" cm="1">
        <f t="array" ref="I1963">(SUMPRODUCT(("Var_Cap"=[1]OUT_TransportEnergyCons!$B$4:$B$10000)*1,ISNUMBER(SEARCH("T_B_u*ICE*DSL*ext",[1]OUT_TransportEnergyCons!$A$4:$A$10000))*1,[1]OUT_TransportEnergyCons!G$4:G$10000))*1000</f>
        <v>0</v>
      </c>
      <c r="J1963" s="1" cm="1">
        <f t="array" ref="J1963">(SUMPRODUCT(("Var_Cap"=[1]OUT_TransportEnergyCons!$B$4:$B$10000)*1,ISNUMBER(SEARCH("T_B_u*ICE*DSL*ext",[1]OUT_TransportEnergyCons!$A$4:$A$10000))*1,[1]OUT_TransportEnergyCons!H$4:H$10000))*1000</f>
        <v>0</v>
      </c>
      <c r="K1963" s="1" cm="1">
        <f t="array" ref="K1963">(SUMPRODUCT(("Var_Cap"=[1]OUT_TransportEnergyCons!$B$4:$B$10000)*1,ISNUMBER(SEARCH("T_B_u*ICE*DSL*ext",[1]OUT_TransportEnergyCons!$A$4:$A$10000))*1,[1]OUT_TransportEnergyCons!I$4:I$10000))*1000</f>
        <v>0</v>
      </c>
    </row>
    <row r="1964" spans="2:11" x14ac:dyDescent="0.35">
      <c r="B1964" s="5" t="str">
        <f t="shared" si="1247"/>
        <v>SPS2</v>
      </c>
      <c r="C1964" s="5" t="str">
        <f t="shared" si="1249"/>
        <v>CH</v>
      </c>
      <c r="D1964" t="s">
        <v>1992</v>
      </c>
      <c r="E1964" t="s">
        <v>2000</v>
      </c>
      <c r="F1964" s="1" cm="1">
        <f t="array" ref="F1964">(SUMPRODUCT(("Var_Cap"=[1]OUT_TransportEnergyCons!$B$4:$B$10000)*1,ISNUMBER(SEARCH("T_B_u*ICE*DSL*s1",[1]OUT_TransportEnergyCons!$A$4:$A$10000))*1,[1]OUT_TransportEnergyCons!D$4:D$10000))*1000</f>
        <v>7.0464135021097002E-4</v>
      </c>
      <c r="G1964" s="1" cm="1">
        <f t="array" ref="G1964">(SUMPRODUCT(("Var_Cap"=[1]OUT_TransportEnergyCons!$B$4:$B$10000)*1,ISNUMBER(SEARCH("T_B_u*ICE*DSL*s1",[1]OUT_TransportEnergyCons!$A$4:$A$10000))*1,[1]OUT_TransportEnergyCons!E$4:E$10000))*1000</f>
        <v>0.5131672349053964</v>
      </c>
      <c r="H1964" s="1" cm="1">
        <f t="array" ref="H1964">(SUMPRODUCT(("Var_Cap"=[1]OUT_TransportEnergyCons!$B$4:$B$10000)*1,ISNUMBER(SEARCH("T_B_u*ICE*DSL*s1",[1]OUT_TransportEnergyCons!$A$4:$A$10000))*1,[1]OUT_TransportEnergyCons!F$4:F$10000))*1000</f>
        <v>1.0046395614469423</v>
      </c>
      <c r="I1964" s="1" cm="1">
        <f t="array" ref="I1964">(SUMPRODUCT(("Var_Cap"=[1]OUT_TransportEnergyCons!$B$4:$B$10000)*1,ISNUMBER(SEARCH("T_B_u*ICE*DSL*s1",[1]OUT_TransportEnergyCons!$A$4:$A$10000))*1,[1]OUT_TransportEnergyCons!G$4:G$10000))*1000</f>
        <v>5.8371889395301101E-5</v>
      </c>
      <c r="J1964" s="1" cm="1">
        <f t="array" ref="J1964">(SUMPRODUCT(("Var_Cap"=[1]OUT_TransportEnergyCons!$B$4:$B$10000)*1,ISNUMBER(SEARCH("T_B_u*ICE*DSL*s1",[1]OUT_TransportEnergyCons!$A$4:$A$10000))*1,[1]OUT_TransportEnergyCons!H$4:H$10000))*1000</f>
        <v>3.0888441084501504E-5</v>
      </c>
      <c r="K1964" s="1" cm="1">
        <f t="array" ref="K1964">(SUMPRODUCT(("Var_Cap"=[1]OUT_TransportEnergyCons!$B$4:$B$10000)*1,ISNUMBER(SEARCH("T_B_u*ICE*DSL*s1",[1]OUT_TransportEnergyCons!$A$4:$A$10000))*1,[1]OUT_TransportEnergyCons!I$4:I$10000))*1000</f>
        <v>2.05242451018736E-5</v>
      </c>
    </row>
    <row r="1965" spans="2:11" x14ac:dyDescent="0.35">
      <c r="B1965" s="5" t="str">
        <f t="shared" si="1247"/>
        <v>SPS2</v>
      </c>
      <c r="C1965" s="5" t="str">
        <f t="shared" si="1249"/>
        <v>CH</v>
      </c>
      <c r="D1965" t="s">
        <v>1993</v>
      </c>
      <c r="E1965" t="s">
        <v>2000</v>
      </c>
      <c r="F1965" s="1" cm="1">
        <f t="array" ref="F1965">(SUMPRODUCT(("Var_Cap"=[1]OUT_TransportEnergyCons!$B$4:$B$10000)*1,ISNUMBER(SEARCH("T_B_u*ICE*DSL*s2",[1]OUT_TransportEnergyCons!$A$4:$A$10000))*1,[1]OUT_TransportEnergyCons!D$4:D$10000))*1000</f>
        <v>0.18407485149707634</v>
      </c>
      <c r="G1965" s="1" cm="1">
        <f t="array" ref="G1965">(SUMPRODUCT(("Var_Cap"=[1]OUT_TransportEnergyCons!$B$4:$B$10000)*1,ISNUMBER(SEARCH("T_B_u*ICE*DSL*s2",[1]OUT_TransportEnergyCons!$A$4:$A$10000))*1,[1]OUT_TransportEnergyCons!E$4:E$10000))*1000</f>
        <v>0.22108465879384276</v>
      </c>
      <c r="H1965" s="1" cm="1">
        <f t="array" ref="H1965">(SUMPRODUCT(("Var_Cap"=[1]OUT_TransportEnergyCons!$B$4:$B$10000)*1,ISNUMBER(SEARCH("T_B_u*ICE*DSL*s2",[1]OUT_TransportEnergyCons!$A$4:$A$10000))*1,[1]OUT_TransportEnergyCons!F$4:F$10000))*1000</f>
        <v>0.3657587722672167</v>
      </c>
      <c r="I1965" s="1" cm="1">
        <f t="array" ref="I1965">(SUMPRODUCT(("Var_Cap"=[1]OUT_TransportEnergyCons!$B$4:$B$10000)*1,ISNUMBER(SEARCH("T_B_u*ICE*DSL*s2",[1]OUT_TransportEnergyCons!$A$4:$A$10000))*1,[1]OUT_TransportEnergyCons!G$4:G$10000))*1000</f>
        <v>-2.8955842950966187E-5</v>
      </c>
      <c r="J1965" s="1" cm="1">
        <f t="array" ref="J1965">(SUMPRODUCT(("Var_Cap"=[1]OUT_TransportEnergyCons!$B$4:$B$10000)*1,ISNUMBER(SEARCH("T_B_u*ICE*DSL*s2",[1]OUT_TransportEnergyCons!$A$4:$A$10000))*1,[1]OUT_TransportEnergyCons!H$4:H$10000))*1000</f>
        <v>-3.31510218363345E-5</v>
      </c>
      <c r="K1965" s="1" cm="1">
        <f t="array" ref="K1965">(SUMPRODUCT(("Var_Cap"=[1]OUT_TransportEnergyCons!$B$4:$B$10000)*1,ISNUMBER(SEARCH("T_B_u*ICE*DSL*s2",[1]OUT_TransportEnergyCons!$A$4:$A$10000))*1,[1]OUT_TransportEnergyCons!I$4:I$10000))*1000</f>
        <v>0</v>
      </c>
    </row>
    <row r="1966" spans="2:11" x14ac:dyDescent="0.35">
      <c r="B1966" s="5" t="str">
        <f t="shared" si="1247"/>
        <v>SPS2</v>
      </c>
      <c r="C1966" s="5" t="str">
        <f t="shared" si="1249"/>
        <v>CH</v>
      </c>
      <c r="D1966" t="s">
        <v>1994</v>
      </c>
      <c r="E1966" t="s">
        <v>2000</v>
      </c>
      <c r="F1966" s="1" cm="1">
        <f t="array" ref="F1966">(SUMPRODUCT(("Var_Cap"=[1]OUT_TransportEnergyCons!$B$4:$B$10000)*1,ISNUMBER(SEARCH("T_B_u*ICE*DSL*s3",[1]OUT_TransportEnergyCons!$A$4:$A$10000))*1,[1]OUT_TransportEnergyCons!D$4:D$10000))*1000</f>
        <v>0.80602245501390302</v>
      </c>
      <c r="G1966" s="1" cm="1">
        <f t="array" ref="G1966">(SUMPRODUCT(("Var_Cap"=[1]OUT_TransportEnergyCons!$B$4:$B$10000)*1,ISNUMBER(SEARCH("T_B_u*ICE*DSL*s3",[1]OUT_TransportEnergyCons!$A$4:$A$10000))*1,[1]OUT_TransportEnergyCons!E$4:E$10000))*1000</f>
        <v>0.98235936048108674</v>
      </c>
      <c r="H1966" s="1" cm="1">
        <f t="array" ref="H1966">(SUMPRODUCT(("Var_Cap"=[1]OUT_TransportEnergyCons!$B$4:$B$10000)*1,ISNUMBER(SEARCH("T_B_u*ICE*DSL*s3",[1]OUT_TransportEnergyCons!$A$4:$A$10000))*1,[1]OUT_TransportEnergyCons!F$4:F$10000))*1000</f>
        <v>1.7796234018137569</v>
      </c>
      <c r="I1966" s="1" cm="1">
        <f t="array" ref="I1966">(SUMPRODUCT(("Var_Cap"=[1]OUT_TransportEnergyCons!$B$4:$B$10000)*1,ISNUMBER(SEARCH("T_B_u*ICE*DSL*s3",[1]OUT_TransportEnergyCons!$A$4:$A$10000))*1,[1]OUT_TransportEnergyCons!G$4:G$10000))*1000</f>
        <v>-3.0640429160046223E-5</v>
      </c>
      <c r="J1966" s="1" cm="1">
        <f t="array" ref="J1966">(SUMPRODUCT(("Var_Cap"=[1]OUT_TransportEnergyCons!$B$4:$B$10000)*1,ISNUMBER(SEARCH("T_B_u*ICE*DSL*s3",[1]OUT_TransportEnergyCons!$A$4:$A$10000))*1,[1]OUT_TransportEnergyCons!H$4:H$10000))*1000</f>
        <v>-2.2601265838384E-5</v>
      </c>
      <c r="K1966" s="1" cm="1">
        <f t="array" ref="K1966">(SUMPRODUCT(("Var_Cap"=[1]OUT_TransportEnergyCons!$B$4:$B$10000)*1,ISNUMBER(SEARCH("T_B_u*ICE*DSL*s3",[1]OUT_TransportEnergyCons!$A$4:$A$10000))*1,[1]OUT_TransportEnergyCons!I$4:I$10000))*1000</f>
        <v>0</v>
      </c>
    </row>
    <row r="1967" spans="2:11" x14ac:dyDescent="0.35">
      <c r="B1967" s="5" t="str">
        <f t="shared" si="1247"/>
        <v>SPS2</v>
      </c>
      <c r="C1967" s="5" t="str">
        <f t="shared" si="1249"/>
        <v>CH</v>
      </c>
      <c r="D1967" t="s">
        <v>1995</v>
      </c>
      <c r="E1967" t="s">
        <v>2000</v>
      </c>
      <c r="F1967" s="1" cm="1">
        <f t="array" ref="F1967">(SUMPRODUCT(("Var_Cap"=[1]OUT_TransportEnergyCons!$B$4:$B$10000)*1,ISNUMBER(SEARCH("T_B_u*ICE*DSL*s4",[1]OUT_TransportEnergyCons!$A$4:$A$10000))*1,[1]OUT_TransportEnergyCons!D$4:D$10000))*1000</f>
        <v>5.819111864127759E-3</v>
      </c>
      <c r="G1967" s="1" cm="1">
        <f t="array" ref="G1967">(SUMPRODUCT(("Var_Cap"=[1]OUT_TransportEnergyCons!$B$4:$B$10000)*1,ISNUMBER(SEARCH("T_B_u*ICE*DSL*s4",[1]OUT_TransportEnergyCons!$A$4:$A$10000))*1,[1]OUT_TransportEnergyCons!E$4:E$10000))*1000</f>
        <v>9.3958451663561139E-4</v>
      </c>
      <c r="H1967" s="1" cm="1">
        <f t="array" ref="H1967">(SUMPRODUCT(("Var_Cap"=[1]OUT_TransportEnergyCons!$B$4:$B$10000)*1,ISNUMBER(SEARCH("T_B_u*ICE*DSL*s4",[1]OUT_TransportEnergyCons!$A$4:$A$10000))*1,[1]OUT_TransportEnergyCons!F$4:F$10000))*1000</f>
        <v>1.0754091925841683E-3</v>
      </c>
      <c r="I1967" s="1" cm="1">
        <f t="array" ref="I1967">(SUMPRODUCT(("Var_Cap"=[1]OUT_TransportEnergyCons!$B$4:$B$10000)*1,ISNUMBER(SEARCH("T_B_u*ICE*DSL*s4",[1]OUT_TransportEnergyCons!$A$4:$A$10000))*1,[1]OUT_TransportEnergyCons!G$4:G$10000))*1000</f>
        <v>-2.3808985605828851E-5</v>
      </c>
      <c r="J1967" s="1" cm="1">
        <f t="array" ref="J1967">(SUMPRODUCT(("Var_Cap"=[1]OUT_TransportEnergyCons!$B$4:$B$10000)*1,ISNUMBER(SEARCH("T_B_u*ICE*DSL*s4",[1]OUT_TransportEnergyCons!$A$4:$A$10000))*1,[1]OUT_TransportEnergyCons!H$4:H$10000))*1000</f>
        <v>-1.1393235363369799E-5</v>
      </c>
      <c r="K1967" s="1" cm="1">
        <f t="array" ref="K1967">(SUMPRODUCT(("Var_Cap"=[1]OUT_TransportEnergyCons!$B$4:$B$10000)*1,ISNUMBER(SEARCH("T_B_u*ICE*DSL*s4",[1]OUT_TransportEnergyCons!$A$4:$A$10000))*1,[1]OUT_TransportEnergyCons!I$4:I$10000))*1000</f>
        <v>0</v>
      </c>
    </row>
    <row r="1968" spans="2:11" x14ac:dyDescent="0.35">
      <c r="B1968" s="5" t="str">
        <f t="shared" si="1247"/>
        <v>SPS2</v>
      </c>
      <c r="C1968" s="5" t="str">
        <f t="shared" si="1249"/>
        <v>CH</v>
      </c>
      <c r="D1968" t="s">
        <v>2008</v>
      </c>
      <c r="E1968" t="s">
        <v>2000</v>
      </c>
      <c r="F1968" s="1" cm="1">
        <f t="array" ref="F1968">(SUMPRODUCT(("Var_Cap"=[1]OUT_TransportEnergyCons!$B$4:$B$10000)*1,ISNUMBER(SEARCH("T_B_u*ICE*nga*ext",[1]OUT_TransportEnergyCons!$A$4:$A$10000))*1,[1]OUT_TransportEnergyCons!D$4:D$10000))*1000</f>
        <v>8.3575401730531504E-2</v>
      </c>
      <c r="G1968" s="1" cm="1">
        <f t="array" ref="G1968">(SUMPRODUCT(("Var_Cap"=[1]OUT_TransportEnergyCons!$B$4:$B$10000)*1,ISNUMBER(SEARCH("T_B_u*ICE*nga*ext",[1]OUT_TransportEnergyCons!$A$4:$A$10000))*1,[1]OUT_TransportEnergyCons!E$4:E$10000))*1000</f>
        <v>6.68603213844252E-2</v>
      </c>
      <c r="H1968" s="1" cm="1">
        <f t="array" ref="H1968">(SUMPRODUCT(("Var_Cap"=[1]OUT_TransportEnergyCons!$B$4:$B$10000)*1,ISNUMBER(SEARCH("T_B_u*ICE*nga*ext",[1]OUT_TransportEnergyCons!$A$4:$A$10000))*1,[1]OUT_TransportEnergyCons!F$4:F$10000))*1000</f>
        <v>4.1777601775549067E-2</v>
      </c>
      <c r="I1968" s="1" cm="1">
        <f t="array" ref="I1968">(SUMPRODUCT(("Var_Cap"=[1]OUT_TransportEnergyCons!$B$4:$B$10000)*1,ISNUMBER(SEARCH("T_B_u*ICE*nga*ext",[1]OUT_TransportEnergyCons!$A$4:$A$10000))*1,[1]OUT_TransportEnergyCons!G$4:G$10000))*1000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(SUMPRODUCT(("Var_Cap"=[1]OUT_TransportEnergyCons!$B$4:$B$10000)*1,ISNUMBER(SEARCH("T_B_u*ICE*nga*ext",[1]OUT_TransportEnergyCons!$A$4:$A$10000))*1,[1]OUT_TransportEnergyCons!H$4:H$10000))*1000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(SUMPRODUCT(("Var_Cap"=[1]OUT_TransportEnergyCons!$B$4:$B$10000)*1,ISNUMBER(SEARCH("T_B_u*ICE*nga*ext",[1]OUT_TransportEnergyCons!$A$4:$A$10000))*1,[1]OUT_TransportEnergyCons!I$4:I$10000))*1000</f>
        <v>0</v>
      </c>
    </row>
    <row r="1969" spans="2:11" x14ac:dyDescent="0.35">
      <c r="B1969" s="5" t="str">
        <f t="shared" si="1247"/>
        <v>SPS2</v>
      </c>
      <c r="C1969" s="5" t="str">
        <f t="shared" si="1249"/>
        <v>CH</v>
      </c>
      <c r="D1969" t="s">
        <v>1996</v>
      </c>
      <c r="E1969" t="s">
        <v>2000</v>
      </c>
      <c r="F1969" s="1" cm="1">
        <f t="array" ref="F1969">(SUMPRODUCT(("Var_Cap"=[1]OUT_TransportEnergyCons!$B$4:$B$10000)*1,ISNUMBER(SEARCH("T_B_u*ICE*nga*s1",[1]OUT_TransportEnergyCons!$A$4:$A$10000))*1,[1]OUT_TransportEnergyCons!D$4:D$10000))*1000</f>
        <v>0</v>
      </c>
      <c r="G1969" s="1" cm="1">
        <f t="array" ref="G1969">(SUMPRODUCT(("Var_Cap"=[1]OUT_TransportEnergyCons!$B$4:$B$10000)*1,ISNUMBER(SEARCH("T_B_u*ICE*nga*s1",[1]OUT_TransportEnergyCons!$A$4:$A$10000))*1,[1]OUT_TransportEnergyCons!E$4:E$10000))*1000</f>
        <v>7.91366076712402E-3</v>
      </c>
      <c r="H1969" s="1" cm="1">
        <f t="array" ref="H1969">(SUMPRODUCT(("Var_Cap"=[1]OUT_TransportEnergyCons!$B$4:$B$10000)*1,ISNUMBER(SEARCH("T_B_u*ICE*nga*s1",[1]OUT_TransportEnergyCons!$A$4:$A$10000))*1,[1]OUT_TransportEnergyCons!F$4:F$10000))*1000</f>
        <v>1.15245886931843E-2</v>
      </c>
      <c r="I1969" s="1" cm="1">
        <f t="array" ref="I1969">(SUMPRODUCT(("Var_Cap"=[1]OUT_TransportEnergyCons!$B$4:$B$10000)*1,ISNUMBER(SEARCH("T_B_u*ICE*nga*s1",[1]OUT_TransportEnergyCons!$A$4:$A$10000))*1,[1]OUT_TransportEnergyCons!G$4:G$10000))*1000</f>
        <v>1.9429162779880055E-4</v>
      </c>
      <c r="J1969" s="1" cm="1">
        <f t="array" ref="J1969">(SUMPRODUCT(("Var_Cap"=[1]OUT_TransportEnergyCons!$B$4:$B$10000)*1,ISNUMBER(SEARCH("T_B_u*ICE*nga*s1",[1]OUT_TransportEnergyCons!$A$4:$A$10000))*1,[1]OUT_TransportEnergyCons!H$4:H$10000))*1000</f>
        <v>9.5307341717630796E-5</v>
      </c>
      <c r="K1969" s="1" cm="1">
        <f t="array" ref="K1969">(SUMPRODUCT(("Var_Cap"=[1]OUT_TransportEnergyCons!$B$4:$B$10000)*1,ISNUMBER(SEARCH("T_B_u*ICE*nga*s1",[1]OUT_TransportEnergyCons!$A$4:$A$10000))*1,[1]OUT_TransportEnergyCons!I$4:I$10000))*1000</f>
        <v>5.8413887930370199E-5</v>
      </c>
    </row>
    <row r="1970" spans="2:11" x14ac:dyDescent="0.35">
      <c r="B1970" s="5" t="str">
        <f t="shared" si="1247"/>
        <v>SPS2</v>
      </c>
      <c r="C1970" s="5" t="str">
        <f t="shared" si="1249"/>
        <v>CH</v>
      </c>
      <c r="D1970" t="s">
        <v>1997</v>
      </c>
      <c r="E1970" t="s">
        <v>2000</v>
      </c>
      <c r="F1970" s="1" cm="1">
        <f t="array" ref="F1970">(SUMPRODUCT(("Var_Cap"=[1]OUT_TransportEnergyCons!$B$4:$B$10000)*1,ISNUMBER(SEARCH("T_B_u*ICE*nga*s2",[1]OUT_TransportEnergyCons!$A$4:$A$10000))*1,[1]OUT_TransportEnergyCons!D$4:D$10000))*1000</f>
        <v>0</v>
      </c>
      <c r="G1970" s="1" cm="1">
        <f t="array" ref="G1970">(SUMPRODUCT(("Var_Cap"=[1]OUT_TransportEnergyCons!$B$4:$B$10000)*1,ISNUMBER(SEARCH("T_B_u*ICE*nga*s2",[1]OUT_TransportEnergyCons!$A$4:$A$10000))*1,[1]OUT_TransportEnergyCons!E$4:E$10000))*1000</f>
        <v>2.2598996297804202E-3</v>
      </c>
      <c r="H1970" s="1" cm="1">
        <f t="array" ref="H1970">(SUMPRODUCT(("Var_Cap"=[1]OUT_TransportEnergyCons!$B$4:$B$10000)*1,ISNUMBER(SEARCH("T_B_u*ICE*nga*s2",[1]OUT_TransportEnergyCons!$A$4:$A$10000))*1,[1]OUT_TransportEnergyCons!F$4:F$10000))*1000</f>
        <v>8.0981692798753994E-3</v>
      </c>
      <c r="I1970" s="1" cm="1">
        <f t="array" ref="I1970">(SUMPRODUCT(("Var_Cap"=[1]OUT_TransportEnergyCons!$B$4:$B$10000)*1,ISNUMBER(SEARCH("T_B_u*ICE*nga*s2",[1]OUT_TransportEnergyCons!$A$4:$A$10000))*1,[1]OUT_TransportEnergyCons!G$4:G$10000))*1000</f>
        <v>8.9398538852569932E-5</v>
      </c>
      <c r="J1970" s="1" cm="1">
        <f t="array" ref="J1970">(SUMPRODUCT(("Var_Cap"=[1]OUT_TransportEnergyCons!$B$4:$B$10000)*1,ISNUMBER(SEARCH("T_B_u*ICE*nga*s2",[1]OUT_TransportEnergyCons!$A$4:$A$10000))*1,[1]OUT_TransportEnergyCons!H$4:H$10000))*1000</f>
        <v>1.7923396013200203E-5</v>
      </c>
      <c r="K1970" s="1" cm="1">
        <f t="array" ref="K1970">(SUMPRODUCT(("Var_Cap"=[1]OUT_TransportEnergyCons!$B$4:$B$10000)*1,ISNUMBER(SEARCH("T_B_u*ICE*nga*s2",[1]OUT_TransportEnergyCons!$A$4:$A$10000))*1,[1]OUT_TransportEnergyCons!I$4:I$10000))*1000</f>
        <v>2.84925452673578E-5</v>
      </c>
    </row>
    <row r="1971" spans="2:11" x14ac:dyDescent="0.35">
      <c r="B1971" s="5" t="str">
        <f t="shared" si="1247"/>
        <v>SPS2</v>
      </c>
      <c r="C1971" s="5" t="str">
        <f t="shared" si="1249"/>
        <v>CH</v>
      </c>
      <c r="D1971" t="s">
        <v>1998</v>
      </c>
      <c r="E1971" t="s">
        <v>2000</v>
      </c>
      <c r="F1971" s="1" cm="1">
        <f t="array" ref="F1971">(SUMPRODUCT(("Var_Cap"=[1]OUT_TransportEnergyCons!$B$4:$B$10000)*1,ISNUMBER(SEARCH("T_B_u*ICE*nga*s3",[1]OUT_TransportEnergyCons!$A$4:$A$10000))*1,[1]OUT_TransportEnergyCons!D$4:D$10000))*1000</f>
        <v>0</v>
      </c>
      <c r="G1971" s="1" cm="1">
        <f t="array" ref="G1971">(SUMPRODUCT(("Var_Cap"=[1]OUT_TransportEnergyCons!$B$4:$B$10000)*1,ISNUMBER(SEARCH("T_B_u*ICE*nga*s3",[1]OUT_TransportEnergyCons!$A$4:$A$10000))*1,[1]OUT_TransportEnergyCons!E$4:E$10000))*1000</f>
        <v>1.99449457964444E-3</v>
      </c>
      <c r="H1971" s="1" cm="1">
        <f t="array" ref="H1971">(SUMPRODUCT(("Var_Cap"=[1]OUT_TransportEnergyCons!$B$4:$B$10000)*1,ISNUMBER(SEARCH("T_B_u*ICE*nga*s3",[1]OUT_TransportEnergyCons!$A$4:$A$10000))*1,[1]OUT_TransportEnergyCons!F$4:F$10000))*1000</f>
        <v>2.07605159812514E-2</v>
      </c>
      <c r="I1971" s="1" cm="1">
        <f t="array" ref="I1971">(SUMPRODUCT(("Var_Cap"=[1]OUT_TransportEnergyCons!$B$4:$B$10000)*1,ISNUMBER(SEARCH("T_B_u*ICE*nga*s3",[1]OUT_TransportEnergyCons!$A$4:$A$10000))*1,[1]OUT_TransportEnergyCons!G$4:G$10000))*1000</f>
        <v>6.189346336200229E-6</v>
      </c>
      <c r="J1971" s="1" cm="1">
        <f t="array" ref="J1971">(SUMPRODUCT(("Var_Cap"=[1]OUT_TransportEnergyCons!$B$4:$B$10000)*1,ISNUMBER(SEARCH("T_B_u*ICE*nga*s3",[1]OUT_TransportEnergyCons!$A$4:$A$10000))*1,[1]OUT_TransportEnergyCons!H$4:H$10000))*1000</f>
        <v>-8.3481623223351001E-6</v>
      </c>
      <c r="K1971" s="1" cm="1">
        <f t="array" ref="K1971">(SUMPRODUCT(("Var_Cap"=[1]OUT_TransportEnergyCons!$B$4:$B$10000)*1,ISNUMBER(SEARCH("T_B_u*ICE*nga*s3",[1]OUT_TransportEnergyCons!$A$4:$A$10000))*1,[1]OUT_TransportEnergyCons!I$4:I$10000))*1000</f>
        <v>1.6795144797793199E-5</v>
      </c>
    </row>
    <row r="1972" spans="2:11" x14ac:dyDescent="0.35">
      <c r="B1972" s="5" t="str">
        <f t="shared" ref="B1972:B2035" si="1250">B1971</f>
        <v>SPS2</v>
      </c>
      <c r="C1972" s="5" t="str">
        <f t="shared" si="1249"/>
        <v>CH</v>
      </c>
      <c r="D1972" t="s">
        <v>1999</v>
      </c>
      <c r="E1972" t="s">
        <v>2000</v>
      </c>
      <c r="F1972" s="1" cm="1">
        <f t="array" ref="F1972">(SUMPRODUCT(("Var_Cap"=[1]OUT_TransportEnergyCons!$B$4:$B$10000)*1,ISNUMBER(SEARCH("T_B_u*ICE*nga*s4",[1]OUT_TransportEnergyCons!$A$4:$A$10000))*1,[1]OUT_TransportEnergyCons!D$4:D$10000))*1000</f>
        <v>0</v>
      </c>
      <c r="G1972" s="1" cm="1">
        <f t="array" ref="G1972">(SUMPRODUCT(("Var_Cap"=[1]OUT_TransportEnergyCons!$B$4:$B$10000)*1,ISNUMBER(SEARCH("T_B_u*ICE*nga*s4",[1]OUT_TransportEnergyCons!$A$4:$A$10000))*1,[1]OUT_TransportEnergyCons!E$4:E$10000))*1000</f>
        <v>4.70154067447204E-5</v>
      </c>
      <c r="H1972" s="1" cm="1">
        <f t="array" ref="H1972">(SUMPRODUCT(("Var_Cap"=[1]OUT_TransportEnergyCons!$B$4:$B$10000)*1,ISNUMBER(SEARCH("T_B_u*ICE*nga*s4",[1]OUT_TransportEnergyCons!$A$4:$A$10000))*1,[1]OUT_TransportEnergyCons!F$4:F$10000))*1000</f>
        <v>1.0788677952158501E-4</v>
      </c>
      <c r="I1972" s="1" cm="1">
        <f t="array" ref="I1972">(SUMPRODUCT(("Var_Cap"=[1]OUT_TransportEnergyCons!$B$4:$B$10000)*1,ISNUMBER(SEARCH("T_B_u*ICE*nga*s4",[1]OUT_TransportEnergyCons!$A$4:$A$10000))*1,[1]OUT_TransportEnergyCons!G$4:G$10000))*1000</f>
        <v>2.8389955350588696E-5</v>
      </c>
      <c r="J1972" s="1" cm="1">
        <f t="array" ref="J1972">(SUMPRODUCT(("Var_Cap"=[1]OUT_TransportEnergyCons!$B$4:$B$10000)*1,ISNUMBER(SEARCH("T_B_u*ICE*nga*s4",[1]OUT_TransportEnergyCons!$A$4:$A$10000))*1,[1]OUT_TransportEnergyCons!H$4:H$10000))*1000</f>
        <v>-2.0435747583362904E-5</v>
      </c>
      <c r="K1972" s="1" cm="1">
        <f t="array" ref="K1972">(SUMPRODUCT(("Var_Cap"=[1]OUT_TransportEnergyCons!$B$4:$B$10000)*1,ISNUMBER(SEARCH("T_B_u*ICE*nga*s4",[1]OUT_TransportEnergyCons!$A$4:$A$10000))*1,[1]OUT_TransportEnergyCons!I$4:I$10000))*1000</f>
        <v>4.7048503274055403E-6</v>
      </c>
    </row>
    <row r="1973" spans="2:11" x14ac:dyDescent="0.35">
      <c r="B1973" s="5" t="str">
        <f t="shared" si="1250"/>
        <v>SPS2</v>
      </c>
      <c r="C1973" s="5" t="str">
        <f>C1972</f>
        <v>CH</v>
      </c>
      <c r="D1973" s="2" t="s">
        <v>1978</v>
      </c>
      <c r="E1973" s="2" t="s">
        <v>2000</v>
      </c>
      <c r="F1973" s="3">
        <f>SUM(F1974:F1996)</f>
        <v>2.8552055994463346</v>
      </c>
      <c r="G1973" s="3">
        <f t="shared" ref="G1973" si="1251">SUM(G1974:G1996)</f>
        <v>3.074593451763683</v>
      </c>
      <c r="H1973" s="3">
        <f t="shared" ref="H1973" si="1252">SUM(H1974:H1996)</f>
        <v>2.8942735903769443</v>
      </c>
      <c r="I1973" s="3">
        <f t="shared" ref="I1973" si="1253">SUM(I1974:I1996)</f>
        <v>2.9271978493617552</v>
      </c>
      <c r="J1973" s="3">
        <f t="shared" ref="J1973" si="1254">SUM(J1974:J1996)</f>
        <v>2.927438584935794</v>
      </c>
      <c r="K1973" s="3">
        <f t="shared" ref="K1973" si="1255">SUM(K1974:K1996)</f>
        <v>2.9273455876793264</v>
      </c>
    </row>
    <row r="1974" spans="2:11" x14ac:dyDescent="0.35">
      <c r="B1974" s="5" t="str">
        <f t="shared" si="1250"/>
        <v>SPS2</v>
      </c>
      <c r="C1974" s="5" t="str">
        <f t="shared" ref="C1974:C1996" si="1256">C1973</f>
        <v>CH</v>
      </c>
      <c r="D1974" t="s">
        <v>2009</v>
      </c>
      <c r="E1974" t="s">
        <v>2000</v>
      </c>
      <c r="F1974" s="1" cm="1">
        <f t="array" ref="F1974">(SUMPRODUCT(("Var_Cap"=[1]OUT_TransportEnergyCons!$B$4:$B$10000)*1,ISNUMBER(SEARCH("T_b_c*bev*ext",[1]OUT_TransportEnergyCons!$A$4:$A$10000))*1,[1]OUT_TransportEnergyCons!D$4:D$10000))*1000</f>
        <v>0</v>
      </c>
      <c r="G1974" s="1" cm="1">
        <f t="array" ref="G1974">(SUMPRODUCT(("Var_Cap"=[1]OUT_TransportEnergyCons!$B$4:$B$10000)*1,ISNUMBER(SEARCH("T_b_c*bev*ext",[1]OUT_TransportEnergyCons!$A$4:$A$10000))*1,[1]OUT_TransportEnergyCons!E$4:E$10000))*1000</f>
        <v>0</v>
      </c>
      <c r="H1974" s="1" cm="1">
        <f t="array" ref="H1974">(SUMPRODUCT(("Var_Cap"=[1]OUT_TransportEnergyCons!$B$4:$B$10000)*1,ISNUMBER(SEARCH("T_b_c*bev*ext",[1]OUT_TransportEnergyCons!$A$4:$A$10000))*1,[1]OUT_TransportEnergyCons!F$4:F$10000))*1000</f>
        <v>0</v>
      </c>
      <c r="I1974" s="1" cm="1">
        <f t="array" ref="I1974">(SUMPRODUCT(("Var_Cap"=[1]OUT_TransportEnergyCons!$B$4:$B$10000)*1,ISNUMBER(SEARCH("T_b_c*bev*ext",[1]OUT_TransportEnergyCons!$A$4:$A$10000))*1,[1]OUT_TransportEnergyCons!G$4:G$10000))*1000</f>
        <v>0</v>
      </c>
      <c r="J1974" s="1" cm="1">
        <f t="array" ref="J1974">(SUMPRODUCT(("Var_Cap"=[1]OUT_TransportEnergyCons!$B$4:$B$10000)*1,ISNUMBER(SEARCH("T_b_c*bev*ext",[1]OUT_TransportEnergyCons!$A$4:$A$10000))*1,[1]OUT_TransportEnergyCons!H$4:H$10000))*1000</f>
        <v>0</v>
      </c>
      <c r="K1974" s="1" cm="1">
        <f t="array" ref="K1974">(SUMPRODUCT(("Var_Cap"=[1]OUT_TransportEnergyCons!$B$4:$B$10000)*1,ISNUMBER(SEARCH("T_b_c*bev*ext",[1]OUT_TransportEnergyCons!$A$4:$A$10000))*1,[1]OUT_TransportEnergyCons!I$4:I$10000))*1000</f>
        <v>0</v>
      </c>
    </row>
    <row r="1975" spans="2:11" x14ac:dyDescent="0.35">
      <c r="B1975" s="5" t="str">
        <f t="shared" si="1250"/>
        <v>SPS2</v>
      </c>
      <c r="C1975" s="5" t="str">
        <f t="shared" si="1256"/>
        <v>CH</v>
      </c>
      <c r="D1975" t="s">
        <v>2010</v>
      </c>
      <c r="E1975" t="s">
        <v>2000</v>
      </c>
      <c r="F1975" s="1" cm="1">
        <f t="array" ref="F1975">(SUMPRODUCT(("Var_Cap"=[1]OUT_TransportEnergyCons!$B$4:$B$10000)*1,ISNUMBER(SEARCH("T_b_c*bev*s1",[1]OUT_TransportEnergyCons!$A$4:$A$10000))*1,[1]OUT_TransportEnergyCons!D$4:D$10000))*1000</f>
        <v>3.3713942307692299E-3</v>
      </c>
      <c r="G1975" s="1" cm="1">
        <f t="array" ref="G1975">(SUMPRODUCT(("Var_Cap"=[1]OUT_TransportEnergyCons!$B$4:$B$10000)*1,ISNUMBER(SEARCH("T_b_c*bev*s1",[1]OUT_TransportEnergyCons!$A$4:$A$10000))*1,[1]OUT_TransportEnergyCons!E$4:E$10000))*1000</f>
        <v>1.806772854654826E-2</v>
      </c>
      <c r="H1975" s="1" cm="1">
        <f t="array" ref="H1975">(SUMPRODUCT(("Var_Cap"=[1]OUT_TransportEnergyCons!$B$4:$B$10000)*1,ISNUMBER(SEARCH("T_b_c*bev*s1",[1]OUT_TransportEnergyCons!$A$4:$A$10000))*1,[1]OUT_TransportEnergyCons!F$4:F$10000))*1000</f>
        <v>3.527476156669896E-2</v>
      </c>
      <c r="I1975" s="1" cm="1">
        <f t="array" ref="I1975">(SUMPRODUCT(("Var_Cap"=[1]OUT_TransportEnergyCons!$B$4:$B$10000)*1,ISNUMBER(SEARCH("T_b_c*bev*s1",[1]OUT_TransportEnergyCons!$A$4:$A$10000))*1,[1]OUT_TransportEnergyCons!G$4:G$10000))*1000</f>
        <v>1.4107856386192721</v>
      </c>
      <c r="J1975" s="1" cm="1">
        <f t="array" ref="J1975">(SUMPRODUCT(("Var_Cap"=[1]OUT_TransportEnergyCons!$B$4:$B$10000)*1,ISNUMBER(SEARCH("T_b_c*bev*s1",[1]OUT_TransportEnergyCons!$A$4:$A$10000))*1,[1]OUT_TransportEnergyCons!H$4:H$10000))*1000</f>
        <v>1.407849821339922</v>
      </c>
      <c r="K1975" s="1" cm="1">
        <f t="array" ref="K1975">(SUMPRODUCT(("Var_Cap"=[1]OUT_TransportEnergyCons!$B$4:$B$10000)*1,ISNUMBER(SEARCH("T_b_c*bev*s1",[1]OUT_TransportEnergyCons!$A$4:$A$10000))*1,[1]OUT_TransportEnergyCons!I$4:I$10000))*1000</f>
        <v>1.4478357959966293</v>
      </c>
    </row>
    <row r="1976" spans="2:11" x14ac:dyDescent="0.35">
      <c r="B1976" s="5" t="str">
        <f t="shared" si="1250"/>
        <v>SPS2</v>
      </c>
      <c r="C1976" s="5" t="str">
        <f t="shared" si="1256"/>
        <v>CH</v>
      </c>
      <c r="D1976" t="s">
        <v>2011</v>
      </c>
      <c r="E1976" t="s">
        <v>2000</v>
      </c>
      <c r="F1976" s="1" cm="1">
        <f t="array" ref="F1976">(SUMPRODUCT(("Var_Cap"=[1]OUT_TransportEnergyCons!$B$4:$B$10000)*1,ISNUMBER(SEARCH("T_b_c*bev*s2",[1]OUT_TransportEnergyCons!$A$4:$A$10000))*1,[1]OUT_TransportEnergyCons!D$4:D$10000))*1000</f>
        <v>7.7826307813848713E-3</v>
      </c>
      <c r="G1976" s="1" cm="1">
        <f t="array" ref="G1976">(SUMPRODUCT(("Var_Cap"=[1]OUT_TransportEnergyCons!$B$4:$B$10000)*1,ISNUMBER(SEARCH("T_b_c*bev*s2",[1]OUT_TransportEnergyCons!$A$4:$A$10000))*1,[1]OUT_TransportEnergyCons!E$4:E$10000))*1000</f>
        <v>1.3966699593958711E-2</v>
      </c>
      <c r="H1976" s="1" cm="1">
        <f t="array" ref="H1976">(SUMPRODUCT(("Var_Cap"=[1]OUT_TransportEnergyCons!$B$4:$B$10000)*1,ISNUMBER(SEARCH("T_b_c*bev*s2",[1]OUT_TransportEnergyCons!$A$4:$A$10000))*1,[1]OUT_TransportEnergyCons!F$4:F$10000))*1000</f>
        <v>1.7728513909099009E-2</v>
      </c>
      <c r="I1976" s="1" cm="1">
        <f t="array" ref="I1976">(SUMPRODUCT(("Var_Cap"=[1]OUT_TransportEnergyCons!$B$4:$B$10000)*1,ISNUMBER(SEARCH("T_b_c*bev*s2",[1]OUT_TransportEnergyCons!$A$4:$A$10000))*1,[1]OUT_TransportEnergyCons!G$4:G$10000))*1000</f>
        <v>1.2474433519191359</v>
      </c>
      <c r="J1976" s="1" cm="1">
        <f t="array" ref="J1976">(SUMPRODUCT(("Var_Cap"=[1]OUT_TransportEnergyCons!$B$4:$B$10000)*1,ISNUMBER(SEARCH("T_b_c*bev*s2",[1]OUT_TransportEnergyCons!$A$4:$A$10000))*1,[1]OUT_TransportEnergyCons!H$4:H$10000))*1000</f>
        <v>1.2499579850494646</v>
      </c>
      <c r="K1976" s="1" cm="1">
        <f t="array" ref="K1976">(SUMPRODUCT(("Var_Cap"=[1]OUT_TransportEnergyCons!$B$4:$B$10000)*1,ISNUMBER(SEARCH("T_b_c*bev*s2",[1]OUT_TransportEnergyCons!$A$4:$A$10000))*1,[1]OUT_TransportEnergyCons!I$4:I$10000))*1000</f>
        <v>1.2176287957449554</v>
      </c>
    </row>
    <row r="1977" spans="2:11" x14ac:dyDescent="0.35">
      <c r="B1977" s="5" t="str">
        <f t="shared" si="1250"/>
        <v>SPS2</v>
      </c>
      <c r="C1977" s="5" t="str">
        <f t="shared" si="1256"/>
        <v>CH</v>
      </c>
      <c r="D1977" t="s">
        <v>2012</v>
      </c>
      <c r="E1977" t="s">
        <v>2000</v>
      </c>
      <c r="F1977" s="1" cm="1">
        <f t="array" ref="F1977">(SUMPRODUCT(("Var_Cap"=[1]OUT_TransportEnergyCons!$B$4:$B$10000)*1,ISNUMBER(SEARCH("T_b_c*bev*s3",[1]OUT_TransportEnergyCons!$A$4:$A$10000))*1,[1]OUT_TransportEnergyCons!D$4:D$10000))*1000</f>
        <v>1.60262808168472E-3</v>
      </c>
      <c r="G1977" s="1" cm="1">
        <f t="array" ref="G1977">(SUMPRODUCT(("Var_Cap"=[1]OUT_TransportEnergyCons!$B$4:$B$10000)*1,ISNUMBER(SEARCH("T_b_c*bev*s3",[1]OUT_TransportEnergyCons!$A$4:$A$10000))*1,[1]OUT_TransportEnergyCons!E$4:E$10000))*1000</f>
        <v>3.0804813992234858E-3</v>
      </c>
      <c r="H1977" s="1" cm="1">
        <f t="array" ref="H1977">(SUMPRODUCT(("Var_Cap"=[1]OUT_TransportEnergyCons!$B$4:$B$10000)*1,ISNUMBER(SEARCH("T_b_c*bev*s3",[1]OUT_TransportEnergyCons!$A$4:$A$10000))*1,[1]OUT_TransportEnergyCons!F$4:F$10000))*1000</f>
        <v>4.4636328767995908E-3</v>
      </c>
      <c r="I1977" s="1" cm="1">
        <f t="array" ref="I1977">(SUMPRODUCT(("Var_Cap"=[1]OUT_TransportEnergyCons!$B$4:$B$10000)*1,ISNUMBER(SEARCH("T_b_c*bev*s3",[1]OUT_TransportEnergyCons!$A$4:$A$10000))*1,[1]OUT_TransportEnergyCons!G$4:G$10000))*1000</f>
        <v>0.26770896642207859</v>
      </c>
      <c r="J1977" s="1" cm="1">
        <f t="array" ref="J1977">(SUMPRODUCT(("Var_Cap"=[1]OUT_TransportEnergyCons!$B$4:$B$10000)*1,ISNUMBER(SEARCH("T_b_c*bev*s3",[1]OUT_TransportEnergyCons!$A$4:$A$10000))*1,[1]OUT_TransportEnergyCons!H$4:H$10000))*1000</f>
        <v>0.26728725386964908</v>
      </c>
      <c r="K1977" s="1" cm="1">
        <f t="array" ref="K1977">(SUMPRODUCT(("Var_Cap"=[1]OUT_TransportEnergyCons!$B$4:$B$10000)*1,ISNUMBER(SEARCH("T_b_c*bev*s3",[1]OUT_TransportEnergyCons!$A$4:$A$10000))*1,[1]OUT_TransportEnergyCons!I$4:I$10000))*1000</f>
        <v>0.26046086864304802</v>
      </c>
    </row>
    <row r="1978" spans="2:11" x14ac:dyDescent="0.35">
      <c r="B1978" s="5" t="str">
        <f t="shared" si="1250"/>
        <v>SPS2</v>
      </c>
      <c r="C1978" s="5" t="str">
        <f t="shared" si="1256"/>
        <v>CH</v>
      </c>
      <c r="D1978" t="s">
        <v>2013</v>
      </c>
      <c r="E1978" t="s">
        <v>2000</v>
      </c>
      <c r="F1978" s="1" cm="1">
        <f t="array" ref="F1978">(SUMPRODUCT(("Var_Cap"=[1]OUT_TransportEnergyCons!$B$4:$B$10000)*1,ISNUMBER(SEARCH("T_b_c*bev*s4",[1]OUT_TransportEnergyCons!$A$4:$A$10000))*1,[1]OUT_TransportEnergyCons!D$4:D$10000))*1000</f>
        <v>0</v>
      </c>
      <c r="G1978" s="1" cm="1">
        <f t="array" ref="G1978">(SUMPRODUCT(("Var_Cap"=[1]OUT_TransportEnergyCons!$B$4:$B$10000)*1,ISNUMBER(SEARCH("T_b_c*bev*s4",[1]OUT_TransportEnergyCons!$A$4:$A$10000))*1,[1]OUT_TransportEnergyCons!E$4:E$10000))*1000</f>
        <v>5.0295591447219905E-4</v>
      </c>
      <c r="H1978" s="1" cm="1">
        <f t="array" ref="H1978">(SUMPRODUCT(("Var_Cap"=[1]OUT_TransportEnergyCons!$B$4:$B$10000)*1,ISNUMBER(SEARCH("T_b_c*bev*s4",[1]OUT_TransportEnergyCons!$A$4:$A$10000))*1,[1]OUT_TransportEnergyCons!F$4:F$10000))*1000</f>
        <v>9.2696641909375405E-4</v>
      </c>
      <c r="I1978" s="1" cm="1">
        <f t="array" ref="I1978">(SUMPRODUCT(("Var_Cap"=[1]OUT_TransportEnergyCons!$B$4:$B$10000)*1,ISNUMBER(SEARCH("T_b_c*bev*s4",[1]OUT_TransportEnergyCons!$A$4:$A$10000))*1,[1]OUT_TransportEnergyCons!G$4:G$10000))*1000</f>
        <v>5.8165941938319494E-4</v>
      </c>
      <c r="J1978" s="1" cm="1">
        <f t="array" ref="J1978">(SUMPRODUCT(("Var_Cap"=[1]OUT_TransportEnergyCons!$B$4:$B$10000)*1,ISNUMBER(SEARCH("T_b_c*bev*s4",[1]OUT_TransportEnergyCons!$A$4:$A$10000))*1,[1]OUT_TransportEnergyCons!H$4:H$10000))*1000</f>
        <v>1.5481809301717019E-3</v>
      </c>
      <c r="K1978" s="1" cm="1">
        <f t="array" ref="K1978">(SUMPRODUCT(("Var_Cap"=[1]OUT_TransportEnergyCons!$B$4:$B$10000)*1,ISNUMBER(SEARCH("T_b_c*bev*s4",[1]OUT_TransportEnergyCons!$A$4:$A$10000))*1,[1]OUT_TransportEnergyCons!I$4:I$10000))*1000</f>
        <v>7.0766312572867094E-4</v>
      </c>
    </row>
    <row r="1979" spans="2:11" x14ac:dyDescent="0.35">
      <c r="B1979" s="5" t="str">
        <f t="shared" si="1250"/>
        <v>SPS2</v>
      </c>
      <c r="C1979" s="5" t="str">
        <f t="shared" si="1256"/>
        <v>CH</v>
      </c>
      <c r="D1979" t="s">
        <v>2014</v>
      </c>
      <c r="E1979" t="s">
        <v>2000</v>
      </c>
      <c r="F1979" s="1" cm="1">
        <f t="array" ref="F1979">(SUMPRODUCT(("Var_Cap"=[1]OUT_TransportEnergyCons!$B$4:$B$10000)*1,ISNUMBER(SEARCH("T_b_c*h2o*s1",[1]OUT_TransportEnergyCons!$A$4:$A$10000))*1,[1]OUT_TransportEnergyCons!D$4:D$10000))*1000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(SUMPRODUCT(("Var_Cap"=[1]OUT_TransportEnergyCons!$B$4:$B$10000)*1,ISNUMBER(SEARCH("T_b_c*h2o*s1",[1]OUT_TransportEnergyCons!$A$4:$A$10000))*1,[1]OUT_TransportEnergyCons!E$4:E$10000))*1000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(SUMPRODUCT(("Var_Cap"=[1]OUT_TransportEnergyCons!$B$4:$B$10000)*1,ISNUMBER(SEARCH("T_b_c*h2o*s1",[1]OUT_TransportEnergyCons!$A$4:$A$10000))*1,[1]OUT_TransportEnergyCons!F$4:F$10000))*1000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(SUMPRODUCT(("Var_Cap"=[1]OUT_TransportEnergyCons!$B$4:$B$10000)*1,ISNUMBER(SEARCH("T_b_c*h2o*s1",[1]OUT_TransportEnergyCons!$A$4:$A$10000))*1,[1]OUT_TransportEnergyCons!G$4:G$10000))*1000</f>
        <v>3.3447117312699201E-5</v>
      </c>
      <c r="J1979" s="1" cm="1">
        <f t="array" ref="J1979">(SUMPRODUCT(("Var_Cap"=[1]OUT_TransportEnergyCons!$B$4:$B$10000)*1,ISNUMBER(SEARCH("T_b_c*h2o*s1",[1]OUT_TransportEnergyCons!$A$4:$A$10000))*1,[1]OUT_TransportEnergyCons!H$4:H$10000))*1000</f>
        <v>2.442953293899269E-5</v>
      </c>
      <c r="K1979" s="1" cm="1">
        <f t="array" ref="K1979">(SUMPRODUCT(("Var_Cap"=[1]OUT_TransportEnergyCons!$B$4:$B$10000)*1,ISNUMBER(SEARCH("T_b_c*h2o*s1",[1]OUT_TransportEnergyCons!$A$4:$A$10000))*1,[1]OUT_TransportEnergyCons!I$4:I$10000))*1000</f>
        <v>5.2375916083671702E-5</v>
      </c>
    </row>
    <row r="1980" spans="2:11" x14ac:dyDescent="0.35">
      <c r="B1980" s="5" t="str">
        <f t="shared" si="1250"/>
        <v>SPS2</v>
      </c>
      <c r="C1980" s="5" t="str">
        <f t="shared" si="1256"/>
        <v>CH</v>
      </c>
      <c r="D1980" t="s">
        <v>2015</v>
      </c>
      <c r="E1980" t="s">
        <v>2000</v>
      </c>
      <c r="F1980" s="1" cm="1">
        <f t="array" ref="F1980">(SUMPRODUCT(("Var_Cap"=[1]OUT_TransportEnergyCons!$B$4:$B$10000)*1,ISNUMBER(SEARCH("T_b_c*h2o*s2",[1]OUT_TransportEnergyCons!$A$4:$A$10000))*1,[1]OUT_TransportEnergyCons!D$4:D$10000))*1000</f>
        <v>0</v>
      </c>
      <c r="G1980" s="1" cm="1">
        <f t="array" ref="G1980">(SUMPRODUCT(("Var_Cap"=[1]OUT_TransportEnergyCons!$B$4:$B$10000)*1,ISNUMBER(SEARCH("T_b_c*h2o*s2",[1]OUT_TransportEnergyCons!$A$4:$A$10000))*1,[1]OUT_TransportEnergyCons!E$4:E$10000))*1000</f>
        <v>0</v>
      </c>
      <c r="H1980" s="1" cm="1">
        <f t="array" ref="H1980">(SUMPRODUCT(("Var_Cap"=[1]OUT_TransportEnergyCons!$B$4:$B$10000)*1,ISNUMBER(SEARCH("T_b_c*h2o*s2",[1]OUT_TransportEnergyCons!$A$4:$A$10000))*1,[1]OUT_TransportEnergyCons!F$4:F$10000))*1000</f>
        <v>0</v>
      </c>
      <c r="I1980" s="1" cm="1">
        <f t="array" ref="I1980">(SUMPRODUCT(("Var_Cap"=[1]OUT_TransportEnergyCons!$B$4:$B$10000)*1,ISNUMBER(SEARCH("T_b_c*h2o*s2",[1]OUT_TransportEnergyCons!$A$4:$A$10000))*1,[1]OUT_TransportEnergyCons!G$4:G$10000))*1000</f>
        <v>4.5602644854045597E-5</v>
      </c>
      <c r="J1980" s="1" cm="1">
        <f t="array" ref="J1980">(SUMPRODUCT(("Var_Cap"=[1]OUT_TransportEnergyCons!$B$4:$B$10000)*1,ISNUMBER(SEARCH("T_b_c*h2o*s2",[1]OUT_TransportEnergyCons!$A$4:$A$10000))*1,[1]OUT_TransportEnergyCons!H$4:H$10000))*1000</f>
        <v>-1.2713587558905408E-5</v>
      </c>
      <c r="K1980" s="1" cm="1">
        <f t="array" ref="K1980">(SUMPRODUCT(("Var_Cap"=[1]OUT_TransportEnergyCons!$B$4:$B$10000)*1,ISNUMBER(SEARCH("T_b_c*h2o*s2",[1]OUT_TransportEnergyCons!$A$4:$A$10000))*1,[1]OUT_TransportEnergyCons!I$4:I$10000))*1000</f>
        <v>3.07293464562576E-5</v>
      </c>
    </row>
    <row r="1981" spans="2:11" x14ac:dyDescent="0.35">
      <c r="B1981" s="5" t="str">
        <f t="shared" si="1250"/>
        <v>SPS2</v>
      </c>
      <c r="C1981" s="5" t="str">
        <f t="shared" si="1256"/>
        <v>CH</v>
      </c>
      <c r="D1981" t="s">
        <v>2016</v>
      </c>
      <c r="E1981" t="s">
        <v>2000</v>
      </c>
      <c r="F1981" s="1" cm="1">
        <f t="array" ref="F1981">(SUMPRODUCT(("Var_Cap"=[1]OUT_TransportEnergyCons!$B$4:$B$10000)*1,ISNUMBER(SEARCH("T_b_c*h2o*s3",[1]OUT_TransportEnergyCons!$A$4:$A$10000))*1,[1]OUT_TransportEnergyCons!D$4:D$10000))*1000</f>
        <v>0</v>
      </c>
      <c r="G1981" s="1" cm="1">
        <f t="array" ref="G1981">(SUMPRODUCT(("Var_Cap"=[1]OUT_TransportEnergyCons!$B$4:$B$10000)*1,ISNUMBER(SEARCH("T_b_c*h2o*s3",[1]OUT_TransportEnergyCons!$A$4:$A$10000))*1,[1]OUT_TransportEnergyCons!E$4:E$10000))*1000</f>
        <v>0</v>
      </c>
      <c r="H1981" s="1" cm="1">
        <f t="array" ref="H1981">(SUMPRODUCT(("Var_Cap"=[1]OUT_TransportEnergyCons!$B$4:$B$10000)*1,ISNUMBER(SEARCH("T_b_c*h2o*s3",[1]OUT_TransportEnergyCons!$A$4:$A$10000))*1,[1]OUT_TransportEnergyCons!F$4:F$10000))*1000</f>
        <v>0</v>
      </c>
      <c r="I1981" s="1" cm="1">
        <f t="array" ref="I1981">(SUMPRODUCT(("Var_Cap"=[1]OUT_TransportEnergyCons!$B$4:$B$10000)*1,ISNUMBER(SEARCH("T_b_c*h2o*s3",[1]OUT_TransportEnergyCons!$A$4:$A$10000))*1,[1]OUT_TransportEnergyCons!G$4:G$10000))*1000</f>
        <v>9.1504950972869391E-5</v>
      </c>
      <c r="J1981" s="1" cm="1">
        <f t="array" ref="J1981">(SUMPRODUCT(("Var_Cap"=[1]OUT_TransportEnergyCons!$B$4:$B$10000)*1,ISNUMBER(SEARCH("T_b_c*h2o*s3",[1]OUT_TransportEnergyCons!$A$4:$A$10000))*1,[1]OUT_TransportEnergyCons!H$4:H$10000))*1000</f>
        <v>9.56676849308634E-5</v>
      </c>
      <c r="K1981" s="1" cm="1">
        <f t="array" ref="K1981">(SUMPRODUCT(("Var_Cap"=[1]OUT_TransportEnergyCons!$B$4:$B$10000)*1,ISNUMBER(SEARCH("T_b_c*h2o*s3",[1]OUT_TransportEnergyCons!$A$4:$A$10000))*1,[1]OUT_TransportEnergyCons!I$4:I$10000))*1000</f>
        <v>4.7037143739893798E-5</v>
      </c>
    </row>
    <row r="1982" spans="2:11" x14ac:dyDescent="0.35">
      <c r="B1982" s="5" t="str">
        <f t="shared" si="1250"/>
        <v>SPS2</v>
      </c>
      <c r="C1982" s="5" t="str">
        <f t="shared" si="1256"/>
        <v>CH</v>
      </c>
      <c r="D1982" t="s">
        <v>2017</v>
      </c>
      <c r="E1982" t="s">
        <v>2000</v>
      </c>
      <c r="F1982" s="1" cm="1">
        <f t="array" ref="F1982">(SUMPRODUCT(("Var_Cap"=[1]OUT_TransportEnergyCons!$B$4:$B$10000)*1,ISNUMBER(SEARCH("T_b_c*h2o*s4",[1]OUT_TransportEnergyCons!$A$4:$A$10000))*1,[1]OUT_TransportEnergyCons!D$4:D$10000))*1000</f>
        <v>0</v>
      </c>
      <c r="G1982" s="1" cm="1">
        <f t="array" ref="G1982">(SUMPRODUCT(("Var_Cap"=[1]OUT_TransportEnergyCons!$B$4:$B$10000)*1,ISNUMBER(SEARCH("T_b_c*h2o*s4",[1]OUT_TransportEnergyCons!$A$4:$A$10000))*1,[1]OUT_TransportEnergyCons!E$4:E$10000))*1000</f>
        <v>0</v>
      </c>
      <c r="H1982" s="1" cm="1">
        <f t="array" ref="H1982">(SUMPRODUCT(("Var_Cap"=[1]OUT_TransportEnergyCons!$B$4:$B$10000)*1,ISNUMBER(SEARCH("T_b_c*h2o*s4",[1]OUT_TransportEnergyCons!$A$4:$A$10000))*1,[1]OUT_TransportEnergyCons!F$4:F$10000))*1000</f>
        <v>0</v>
      </c>
      <c r="I1982" s="1" cm="1">
        <f t="array" ref="I1982">(SUMPRODUCT(("Var_Cap"=[1]OUT_TransportEnergyCons!$B$4:$B$10000)*1,ISNUMBER(SEARCH("T_b_c*h2o*s4",[1]OUT_TransportEnergyCons!$A$4:$A$10000))*1,[1]OUT_TransportEnergyCons!G$4:G$10000))*1000</f>
        <v>1.8411018332365601E-5</v>
      </c>
      <c r="J1982" s="1" cm="1">
        <f t="array" ref="J1982">(SUMPRODUCT(("Var_Cap"=[1]OUT_TransportEnergyCons!$B$4:$B$10000)*1,ISNUMBER(SEARCH("T_b_c*h2o*s4",[1]OUT_TransportEnergyCons!$A$4:$A$10000))*1,[1]OUT_TransportEnergyCons!H$4:H$10000))*1000</f>
        <v>-2.9014135500787799E-5</v>
      </c>
      <c r="K1982" s="1" cm="1">
        <f t="array" ref="K1982">(SUMPRODUCT(("Var_Cap"=[1]OUT_TransportEnergyCons!$B$4:$B$10000)*1,ISNUMBER(SEARCH("T_b_c*h2o*s4",[1]OUT_TransportEnergyCons!$A$4:$A$10000))*1,[1]OUT_TransportEnergyCons!I$4:I$10000))*1000</f>
        <v>0</v>
      </c>
    </row>
    <row r="1983" spans="2:11" x14ac:dyDescent="0.35">
      <c r="B1983" s="5" t="str">
        <f t="shared" si="1250"/>
        <v>SPS2</v>
      </c>
      <c r="C1983" s="5" t="str">
        <f t="shared" si="1256"/>
        <v>CH</v>
      </c>
      <c r="D1983" t="s">
        <v>2018</v>
      </c>
      <c r="E1983" t="s">
        <v>2000</v>
      </c>
      <c r="F1983" s="1" cm="1">
        <f t="array" ref="F1983">(SUMPRODUCT(("Var_Cap"=[1]OUT_TransportEnergyCons!$B$4:$B$10000)*1,ISNUMBER(SEARCH("T_b_c*hyb*DSL*s1",[1]OUT_TransportEnergyCons!$A$4:$A$10000))*1,[1]OUT_TransportEnergyCons!D$4:D$10000))*1000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(SUMPRODUCT(("Var_Cap"=[1]OUT_TransportEnergyCons!$B$4:$B$10000)*1,ISNUMBER(SEARCH("T_b_c*hyb*DSL*s1",[1]OUT_TransportEnergyCons!$A$4:$A$10000))*1,[1]OUT_TransportEnergyCons!E$4:E$10000))*1000</f>
        <v>1.9277466994945803E-2</v>
      </c>
      <c r="H1983" s="1" cm="1">
        <f t="array" ref="H1983">(SUMPRODUCT(("Var_Cap"=[1]OUT_TransportEnergyCons!$B$4:$B$10000)*1,ISNUMBER(SEARCH("T_b_c*hyb*DSL*s1",[1]OUT_TransportEnergyCons!$A$4:$A$10000))*1,[1]OUT_TransportEnergyCons!F$4:F$10000))*1000</f>
        <v>2.3121776779312646E-2</v>
      </c>
      <c r="I1983" s="1" cm="1">
        <f t="array" ref="I1983">(SUMPRODUCT(("Var_Cap"=[1]OUT_TransportEnergyCons!$B$4:$B$10000)*1,ISNUMBER(SEARCH("T_b_c*hyb*DSL*s1",[1]OUT_TransportEnergyCons!$A$4:$A$10000))*1,[1]OUT_TransportEnergyCons!G$4:G$10000))*1000</f>
        <v>7.1752040971000857E-5</v>
      </c>
      <c r="J1983" s="1" cm="1">
        <f t="array" ref="J1983">(SUMPRODUCT(("Var_Cap"=[1]OUT_TransportEnergyCons!$B$4:$B$10000)*1,ISNUMBER(SEARCH("T_b_c*hyb*DSL*s1",[1]OUT_TransportEnergyCons!$A$4:$A$10000))*1,[1]OUT_TransportEnergyCons!H$4:H$10000))*1000</f>
        <v>2.0145032669558101E-4</v>
      </c>
      <c r="K1983" s="1" cm="1">
        <f t="array" ref="K1983">(SUMPRODUCT(("Var_Cap"=[1]OUT_TransportEnergyCons!$B$4:$B$10000)*1,ISNUMBER(SEARCH("T_b_c*hyb*DSL*s1",[1]OUT_TransportEnergyCons!$A$4:$A$10000))*1,[1]OUT_TransportEnergyCons!I$4:I$10000))*1000</f>
        <v>1.4319442386435998E-4</v>
      </c>
    </row>
    <row r="1984" spans="2:11" x14ac:dyDescent="0.35">
      <c r="B1984" s="5" t="str">
        <f t="shared" si="1250"/>
        <v>SPS2</v>
      </c>
      <c r="C1984" s="5" t="str">
        <f t="shared" si="1256"/>
        <v>CH</v>
      </c>
      <c r="D1984" t="s">
        <v>2019</v>
      </c>
      <c r="E1984" t="s">
        <v>2000</v>
      </c>
      <c r="F1984" s="1" cm="1">
        <f t="array" ref="F1984">(SUMPRODUCT(("Var_Cap"=[1]OUT_TransportEnergyCons!$B$4:$B$10000)*1,ISNUMBER(SEARCH("T_b_c*hyb*DSL*s2",[1]OUT_TransportEnergyCons!$A$4:$A$10000))*1,[1]OUT_TransportEnergyCons!D$4:D$10000))*1000</f>
        <v>0</v>
      </c>
      <c r="G1984" s="1" cm="1">
        <f t="array" ref="G1984">(SUMPRODUCT(("Var_Cap"=[1]OUT_TransportEnergyCons!$B$4:$B$10000)*1,ISNUMBER(SEARCH("T_b_c*hyb*DSL*s2",[1]OUT_TransportEnergyCons!$A$4:$A$10000))*1,[1]OUT_TransportEnergyCons!E$4:E$10000))*1000</f>
        <v>1.58814646600409E-3</v>
      </c>
      <c r="H1984" s="1" cm="1">
        <f t="array" ref="H1984">(SUMPRODUCT(("Var_Cap"=[1]OUT_TransportEnergyCons!$B$4:$B$10000)*1,ISNUMBER(SEARCH("T_b_c*hyb*DSL*s2",[1]OUT_TransportEnergyCons!$A$4:$A$10000))*1,[1]OUT_TransportEnergyCons!F$4:F$10000))*1000</f>
        <v>2.9626654541795999E-3</v>
      </c>
      <c r="I1984" s="1" cm="1">
        <f t="array" ref="I1984">(SUMPRODUCT(("Var_Cap"=[1]OUT_TransportEnergyCons!$B$4:$B$10000)*1,ISNUMBER(SEARCH("T_b_c*hyb*DSL*s2",[1]OUT_TransportEnergyCons!$A$4:$A$10000))*1,[1]OUT_TransportEnergyCons!G$4:G$10000))*1000</f>
        <v>7.7014786081539967E-5</v>
      </c>
      <c r="J1984" s="1" cm="1">
        <f t="array" ref="J1984">(SUMPRODUCT(("Var_Cap"=[1]OUT_TransportEnergyCons!$B$4:$B$10000)*1,ISNUMBER(SEARCH("T_b_c*hyb*DSL*s2",[1]OUT_TransportEnergyCons!$A$4:$A$10000))*1,[1]OUT_TransportEnergyCons!H$4:H$10000))*1000</f>
        <v>1.5458123143656399E-4</v>
      </c>
      <c r="K1984" s="1" cm="1">
        <f t="array" ref="K1984">(SUMPRODUCT(("Var_Cap"=[1]OUT_TransportEnergyCons!$B$4:$B$10000)*1,ISNUMBER(SEARCH("T_b_c*hyb*DSL*s2",[1]OUT_TransportEnergyCons!$A$4:$A$10000))*1,[1]OUT_TransportEnergyCons!I$4:I$10000))*1000</f>
        <v>1.19967181847355E-4</v>
      </c>
    </row>
    <row r="1985" spans="2:11" x14ac:dyDescent="0.35">
      <c r="B1985" s="5" t="str">
        <f t="shared" si="1250"/>
        <v>SPS2</v>
      </c>
      <c r="C1985" s="5" t="str">
        <f t="shared" si="1256"/>
        <v>CH</v>
      </c>
      <c r="D1985" t="s">
        <v>2020</v>
      </c>
      <c r="E1985" t="s">
        <v>2000</v>
      </c>
      <c r="F1985" s="1" cm="1">
        <f t="array" ref="F1985">(SUMPRODUCT(("Var_Cap"=[1]OUT_TransportEnergyCons!$B$4:$B$10000)*1,ISNUMBER(SEARCH("T_b_c*hyb*DSL*s3",[1]OUT_TransportEnergyCons!$A$4:$A$10000))*1,[1]OUT_TransportEnergyCons!D$4:D$10000))*1000</f>
        <v>0</v>
      </c>
      <c r="G1985" s="1" cm="1">
        <f t="array" ref="G1985">(SUMPRODUCT(("Var_Cap"=[1]OUT_TransportEnergyCons!$B$4:$B$10000)*1,ISNUMBER(SEARCH("T_b_c*hyb*DSL*s3",[1]OUT_TransportEnergyCons!$A$4:$A$10000))*1,[1]OUT_TransportEnergyCons!E$4:E$10000))*1000</f>
        <v>6.8403524567420401E-4</v>
      </c>
      <c r="H1985" s="1" cm="1">
        <f t="array" ref="H1985">(SUMPRODUCT(("Var_Cap"=[1]OUT_TransportEnergyCons!$B$4:$B$10000)*1,ISNUMBER(SEARCH("T_b_c*hyb*DSL*s3",[1]OUT_TransportEnergyCons!$A$4:$A$10000))*1,[1]OUT_TransportEnergyCons!F$4:F$10000))*1000</f>
        <v>1.2196615610554499E-3</v>
      </c>
      <c r="I1985" s="1" cm="1">
        <f t="array" ref="I1985">(SUMPRODUCT(("Var_Cap"=[1]OUT_TransportEnergyCons!$B$4:$B$10000)*1,ISNUMBER(SEARCH("T_b_c*hyb*DSL*s3",[1]OUT_TransportEnergyCons!$A$4:$A$10000))*1,[1]OUT_TransportEnergyCons!G$4:G$10000))*1000</f>
        <v>2.4839152064554603E-4</v>
      </c>
      <c r="J1985" s="1" cm="1">
        <f t="array" ref="J1985">(SUMPRODUCT(("Var_Cap"=[1]OUT_TransportEnergyCons!$B$4:$B$10000)*1,ISNUMBER(SEARCH("T_b_c*hyb*DSL*s3",[1]OUT_TransportEnergyCons!$A$4:$A$10000))*1,[1]OUT_TransportEnergyCons!H$4:H$10000))*1000</f>
        <v>1.8848072715450296E-5</v>
      </c>
      <c r="K1985" s="1" cm="1">
        <f t="array" ref="K1985">(SUMPRODUCT(("Var_Cap"=[1]OUT_TransportEnergyCons!$B$4:$B$10000)*1,ISNUMBER(SEARCH("T_b_c*hyb*DSL*s3",[1]OUT_TransportEnergyCons!$A$4:$A$10000))*1,[1]OUT_TransportEnergyCons!I$4:I$10000))*1000</f>
        <v>6.3558316964087899E-6</v>
      </c>
    </row>
    <row r="1986" spans="2:11" x14ac:dyDescent="0.35">
      <c r="B1986" s="5" t="str">
        <f t="shared" si="1250"/>
        <v>SPS2</v>
      </c>
      <c r="C1986" s="5" t="str">
        <f t="shared" si="1256"/>
        <v>CH</v>
      </c>
      <c r="D1986" t="s">
        <v>2021</v>
      </c>
      <c r="E1986" t="s">
        <v>2000</v>
      </c>
      <c r="F1986" s="1" cm="1">
        <f t="array" ref="F1986">(SUMPRODUCT(("Var_Cap"=[1]OUT_TransportEnergyCons!$B$4:$B$10000)*1,ISNUMBER(SEARCH("T_b_c*hyb*DSL*s4",[1]OUT_TransportEnergyCons!$A$4:$A$10000))*1,[1]OUT_TransportEnergyCons!D$4:D$10000))*1000</f>
        <v>0</v>
      </c>
      <c r="G1986" s="1" cm="1">
        <f t="array" ref="G1986">(SUMPRODUCT(("Var_Cap"=[1]OUT_TransportEnergyCons!$B$4:$B$10000)*1,ISNUMBER(SEARCH("T_b_c*hyb*DSL*s4",[1]OUT_TransportEnergyCons!$A$4:$A$10000))*1,[1]OUT_TransportEnergyCons!E$4:E$10000))*1000</f>
        <v>1.4157759621610599E-4</v>
      </c>
      <c r="H1986" s="1" cm="1">
        <f t="array" ref="H1986">(SUMPRODUCT(("Var_Cap"=[1]OUT_TransportEnergyCons!$B$4:$B$10000)*1,ISNUMBER(SEARCH("T_b_c*hyb*DSL*s4",[1]OUT_TransportEnergyCons!$A$4:$A$10000))*1,[1]OUT_TransportEnergyCons!F$4:F$10000))*1000</f>
        <v>2.59449389791556E-4</v>
      </c>
      <c r="I1986" s="1" cm="1">
        <f t="array" ref="I1986">(SUMPRODUCT(("Var_Cap"=[1]OUT_TransportEnergyCons!$B$4:$B$10000)*1,ISNUMBER(SEARCH("T_b_c*hyb*DSL*s4",[1]OUT_TransportEnergyCons!$A$4:$A$10000))*1,[1]OUT_TransportEnergyCons!G$4:G$10000))*1000</f>
        <v>4.7562723045296992E-5</v>
      </c>
      <c r="J1986" s="1" cm="1">
        <f t="array" ref="J1986">(SUMPRODUCT(("Var_Cap"=[1]OUT_TransportEnergyCons!$B$4:$B$10000)*1,ISNUMBER(SEARCH("T_b_c*hyb*DSL*s4",[1]OUT_TransportEnergyCons!$A$4:$A$10000))*1,[1]OUT_TransportEnergyCons!H$4:H$10000))*1000</f>
        <v>-3.2822121386007499E-5</v>
      </c>
      <c r="K1986" s="1" cm="1">
        <f t="array" ref="K1986">(SUMPRODUCT(("Var_Cap"=[1]OUT_TransportEnergyCons!$B$4:$B$10000)*1,ISNUMBER(SEARCH("T_b_c*hyb*DSL*s4",[1]OUT_TransportEnergyCons!$A$4:$A$10000))*1,[1]OUT_TransportEnergyCons!I$4:I$10000))*1000</f>
        <v>0</v>
      </c>
    </row>
    <row r="1987" spans="2:11" x14ac:dyDescent="0.35">
      <c r="B1987" s="5" t="str">
        <f t="shared" si="1250"/>
        <v>SPS2</v>
      </c>
      <c r="C1987" s="5" t="str">
        <f t="shared" si="1256"/>
        <v>CH</v>
      </c>
      <c r="D1987" t="s">
        <v>2022</v>
      </c>
      <c r="E1987" t="s">
        <v>2000</v>
      </c>
      <c r="F1987" s="1" cm="1">
        <f t="array" ref="F1987">(SUMPRODUCT(("Var_Cap"=[1]OUT_TransportEnergyCons!$B$4:$B$10000)*1,ISNUMBER(SEARCH("T_b_c*ICE*DSL*ext",[1]OUT_TransportEnergyCons!$A$4:$A$10000))*1,[1]OUT_TransportEnergyCons!D$4:D$10000))*1000</f>
        <v>1.3033204752126699</v>
      </c>
      <c r="G1987" s="1" cm="1">
        <f t="array" ref="G1987">(SUMPRODUCT(("Var_Cap"=[1]OUT_TransportEnergyCons!$B$4:$B$10000)*1,ISNUMBER(SEARCH("T_b_c*ICE*DSL*ext",[1]OUT_TransportEnergyCons!$A$4:$A$10000))*1,[1]OUT_TransportEnergyCons!E$4:E$10000))*1000</f>
        <v>1.0426563801701401</v>
      </c>
      <c r="H1987" s="1" cm="1">
        <f t="array" ref="H1987">(SUMPRODUCT(("Var_Cap"=[1]OUT_TransportEnergyCons!$B$4:$B$10000)*1,ISNUMBER(SEARCH("T_b_c*ICE*DSL*ext",[1]OUT_TransportEnergyCons!$A$4:$A$10000))*1,[1]OUT_TransportEnergyCons!F$4:F$10000))*1000</f>
        <v>0.6516496028461074</v>
      </c>
      <c r="I1987" s="1" cm="1">
        <f t="array" ref="I1987">(SUMPRODUCT(("Var_Cap"=[1]OUT_TransportEnergyCons!$B$4:$B$10000)*1,ISNUMBER(SEARCH("T_b_c*ICE*DSL*ext",[1]OUT_TransportEnergyCons!$A$4:$A$10000))*1,[1]OUT_TransportEnergyCons!G$4:G$10000))*1000</f>
        <v>0</v>
      </c>
      <c r="J1987" s="1" cm="1">
        <f t="array" ref="J1987">(SUMPRODUCT(("Var_Cap"=[1]OUT_TransportEnergyCons!$B$4:$B$10000)*1,ISNUMBER(SEARCH("T_b_c*ICE*DSL*ext",[1]OUT_TransportEnergyCons!$A$4:$A$10000))*1,[1]OUT_TransportEnergyCons!H$4:H$10000))*1000</f>
        <v>0</v>
      </c>
      <c r="K1987" s="1" cm="1">
        <f t="array" ref="K1987">(SUMPRODUCT(("Var_Cap"=[1]OUT_TransportEnergyCons!$B$4:$B$10000)*1,ISNUMBER(SEARCH("T_b_c*ICE*DSL*ext",[1]OUT_TransportEnergyCons!$A$4:$A$10000))*1,[1]OUT_TransportEnergyCons!I$4:I$10000))*1000</f>
        <v>0</v>
      </c>
    </row>
    <row r="1988" spans="2:11" x14ac:dyDescent="0.35">
      <c r="B1988" s="5" t="str">
        <f t="shared" si="1250"/>
        <v>SPS2</v>
      </c>
      <c r="C1988" s="5" t="str">
        <f t="shared" si="1256"/>
        <v>CH</v>
      </c>
      <c r="D1988" t="s">
        <v>2023</v>
      </c>
      <c r="E1988" t="s">
        <v>2000</v>
      </c>
      <c r="F1988" s="1" cm="1">
        <f t="array" ref="F1988">(SUMPRODUCT(("Var_Cap"=[1]OUT_TransportEnergyCons!$B$4:$B$10000)*1,ISNUMBER(SEARCH("T_b_c*ICE*DSL*s1",[1]OUT_TransportEnergyCons!$A$4:$A$10000))*1,[1]OUT_TransportEnergyCons!D$4:D$10000))*1000</f>
        <v>0.30580528846153798</v>
      </c>
      <c r="G1988" s="1" cm="1">
        <f t="array" ref="G1988">(SUMPRODUCT(("Var_Cap"=[1]OUT_TransportEnergyCons!$B$4:$B$10000)*1,ISNUMBER(SEARCH("T_b_c*ICE*DSL*s1",[1]OUT_TransportEnergyCons!$A$4:$A$10000))*1,[1]OUT_TransportEnergyCons!E$4:E$10000))*1000</f>
        <v>0.82323700971137959</v>
      </c>
      <c r="H1988" s="1" cm="1">
        <f t="array" ref="H1988">(SUMPRODUCT(("Var_Cap"=[1]OUT_TransportEnergyCons!$B$4:$B$10000)*1,ISNUMBER(SEARCH("T_b_c*ICE*DSL*s1",[1]OUT_TransportEnergyCons!$A$4:$A$10000))*1,[1]OUT_TransportEnergyCons!F$4:F$10000))*1000</f>
        <v>1.0027916301569351</v>
      </c>
      <c r="I1988" s="1" cm="1">
        <f t="array" ref="I1988">(SUMPRODUCT(("Var_Cap"=[1]OUT_TransportEnergyCons!$B$4:$B$10000)*1,ISNUMBER(SEARCH("T_b_c*ICE*DSL*s1",[1]OUT_TransportEnergyCons!$A$4:$A$10000))*1,[1]OUT_TransportEnergyCons!G$4:G$10000))*1000</f>
        <v>-3.8550907260946968E-5</v>
      </c>
      <c r="J1988" s="1" cm="1">
        <f t="array" ref="J1988">(SUMPRODUCT(("Var_Cap"=[1]OUT_TransportEnergyCons!$B$4:$B$10000)*1,ISNUMBER(SEARCH("T_b_c*ICE*DSL*s1",[1]OUT_TransportEnergyCons!$A$4:$A$10000))*1,[1]OUT_TransportEnergyCons!H$4:H$10000))*1000</f>
        <v>1.4859851761173402E-4</v>
      </c>
      <c r="K1988" s="1" cm="1">
        <f t="array" ref="K1988">(SUMPRODUCT(("Var_Cap"=[1]OUT_TransportEnergyCons!$B$4:$B$10000)*1,ISNUMBER(SEARCH("T_b_c*ICE*DSL*s1",[1]OUT_TransportEnergyCons!$A$4:$A$10000))*1,[1]OUT_TransportEnergyCons!I$4:I$10000))*1000</f>
        <v>1.1691088393914701E-4</v>
      </c>
    </row>
    <row r="1989" spans="2:11" x14ac:dyDescent="0.35">
      <c r="B1989" s="5" t="str">
        <f t="shared" si="1250"/>
        <v>SPS2</v>
      </c>
      <c r="C1989" s="5" t="str">
        <f t="shared" si="1256"/>
        <v>CH</v>
      </c>
      <c r="D1989" t="s">
        <v>2024</v>
      </c>
      <c r="E1989" t="s">
        <v>2000</v>
      </c>
      <c r="F1989" s="1" cm="1">
        <f t="array" ref="F1989">(SUMPRODUCT(("Var_Cap"=[1]OUT_TransportEnergyCons!$B$4:$B$10000)*1,ISNUMBER(SEARCH("T_b_c*ICE*DSL*s2",[1]OUT_TransportEnergyCons!$A$4:$A$10000))*1,[1]OUT_TransportEnergyCons!D$4:D$10000))*1000</f>
        <v>0.98781646421773162</v>
      </c>
      <c r="G1989" s="1" cm="1">
        <f t="array" ref="G1989">(SUMPRODUCT(("Var_Cap"=[1]OUT_TransportEnergyCons!$B$4:$B$10000)*1,ISNUMBER(SEARCH("T_b_c*ICE*DSL*s2",[1]OUT_TransportEnergyCons!$A$4:$A$10000))*1,[1]OUT_TransportEnergyCons!E$4:E$10000))*1000</f>
        <v>0.92106157771132402</v>
      </c>
      <c r="H1989" s="1" cm="1">
        <f t="array" ref="H1989">(SUMPRODUCT(("Var_Cap"=[1]OUT_TransportEnergyCons!$B$4:$B$10000)*1,ISNUMBER(SEARCH("T_b_c*ICE*DSL*s2",[1]OUT_TransportEnergyCons!$A$4:$A$10000))*1,[1]OUT_TransportEnergyCons!F$4:F$10000))*1000</f>
        <v>0.92531794528296907</v>
      </c>
      <c r="I1989" s="1" cm="1">
        <f t="array" ref="I1989">(SUMPRODUCT(("Var_Cap"=[1]OUT_TransportEnergyCons!$B$4:$B$10000)*1,ISNUMBER(SEARCH("T_b_c*ICE*DSL*s2",[1]OUT_TransportEnergyCons!$A$4:$A$10000))*1,[1]OUT_TransportEnergyCons!G$4:G$10000))*1000</f>
        <v>-2.679371640160709E-5</v>
      </c>
      <c r="J1989" s="1" cm="1">
        <f t="array" ref="J1989">(SUMPRODUCT(("Var_Cap"=[1]OUT_TransportEnergyCons!$B$4:$B$10000)*1,ISNUMBER(SEARCH("T_b_c*ICE*DSL*s2",[1]OUT_TransportEnergyCons!$A$4:$A$10000))*1,[1]OUT_TransportEnergyCons!H$4:H$10000))*1000</f>
        <v>1.307789610160631E-4</v>
      </c>
      <c r="K1989" s="1" cm="1">
        <f t="array" ref="K1989">(SUMPRODUCT(("Var_Cap"=[1]OUT_TransportEnergyCons!$B$4:$B$10000)*1,ISNUMBER(SEARCH("T_b_c*ICE*DSL*s2",[1]OUT_TransportEnergyCons!$A$4:$A$10000))*1,[1]OUT_TransportEnergyCons!I$4:I$10000))*1000</f>
        <v>9.2992276618967403E-5</v>
      </c>
    </row>
    <row r="1990" spans="2:11" x14ac:dyDescent="0.35">
      <c r="B1990" s="5" t="str">
        <f t="shared" si="1250"/>
        <v>SPS2</v>
      </c>
      <c r="C1990" s="5" t="str">
        <f t="shared" si="1256"/>
        <v>CH</v>
      </c>
      <c r="D1990" t="s">
        <v>2025</v>
      </c>
      <c r="E1990" t="s">
        <v>2000</v>
      </c>
      <c r="F1990" s="1" cm="1">
        <f t="array" ref="F1990">(SUMPRODUCT(("Var_Cap"=[1]OUT_TransportEnergyCons!$B$4:$B$10000)*1,ISNUMBER(SEARCH("T_b_c*ICE*DSL*s3",[1]OUT_TransportEnergyCons!$A$4:$A$10000))*1,[1]OUT_TransportEnergyCons!D$4:D$10000))*1000</f>
        <v>0.19970978736729622</v>
      </c>
      <c r="G1990" s="1" cm="1">
        <f t="array" ref="G1990">(SUMPRODUCT(("Var_Cap"=[1]OUT_TransportEnergyCons!$B$4:$B$10000)*1,ISNUMBER(SEARCH("T_b_c*ICE*DSL*s3",[1]OUT_TransportEnergyCons!$A$4:$A$10000))*1,[1]OUT_TransportEnergyCons!E$4:E$10000))*1000</f>
        <v>0.19516022154745341</v>
      </c>
      <c r="H1990" s="1" cm="1">
        <f t="array" ref="H1990">(SUMPRODUCT(("Var_Cap"=[1]OUT_TransportEnergyCons!$B$4:$B$10000)*1,ISNUMBER(SEARCH("T_b_c*ICE*DSL*s3",[1]OUT_TransportEnergyCons!$A$4:$A$10000))*1,[1]OUT_TransportEnergyCons!F$4:F$10000))*1000</f>
        <v>0.19628925250979687</v>
      </c>
      <c r="I1990" s="1" cm="1">
        <f t="array" ref="I1990">(SUMPRODUCT(("Var_Cap"=[1]OUT_TransportEnergyCons!$B$4:$B$10000)*1,ISNUMBER(SEARCH("T_b_c*ICE*DSL*s3",[1]OUT_TransportEnergyCons!$A$4:$A$10000))*1,[1]OUT_TransportEnergyCons!G$4:G$10000))*1000</f>
        <v>3.3985649835409056E-6</v>
      </c>
      <c r="J1990" s="1" cm="1">
        <f t="array" ref="J1990">(SUMPRODUCT(("Var_Cap"=[1]OUT_TransportEnergyCons!$B$4:$B$10000)*1,ISNUMBER(SEARCH("T_b_c*ICE*DSL*s3",[1]OUT_TransportEnergyCons!$A$4:$A$10000))*1,[1]OUT_TransportEnergyCons!H$4:H$10000))*1000</f>
        <v>1.7786664053630696E-5</v>
      </c>
      <c r="K1990" s="1" cm="1">
        <f t="array" ref="K1990">(SUMPRODUCT(("Var_Cap"=[1]OUT_TransportEnergyCons!$B$4:$B$10000)*1,ISNUMBER(SEARCH("T_b_c*ICE*DSL*s3",[1]OUT_TransportEnergyCons!$A$4:$A$10000))*1,[1]OUT_TransportEnergyCons!I$4:I$10000))*1000</f>
        <v>5.9251009575217302E-6</v>
      </c>
    </row>
    <row r="1991" spans="2:11" x14ac:dyDescent="0.35">
      <c r="B1991" s="5" t="str">
        <f t="shared" si="1250"/>
        <v>SPS2</v>
      </c>
      <c r="C1991" s="5" t="str">
        <f t="shared" si="1256"/>
        <v>CH</v>
      </c>
      <c r="D1991" t="s">
        <v>2026</v>
      </c>
      <c r="E1991" t="s">
        <v>2000</v>
      </c>
      <c r="F1991" s="1" cm="1">
        <f t="array" ref="F1991">(SUMPRODUCT(("Var_Cap"=[1]OUT_TransportEnergyCons!$B$4:$B$10000)*1,ISNUMBER(SEARCH("T_b_c*ICE*DSL*s4",[1]OUT_TransportEnergyCons!$A$4:$A$10000))*1,[1]OUT_TransportEnergyCons!D$4:D$10000))*1000</f>
        <v>1.6074138485457204E-2</v>
      </c>
      <c r="G1991" s="1" cm="1">
        <f t="array" ref="G1991">(SUMPRODUCT(("Var_Cap"=[1]OUT_TransportEnergyCons!$B$4:$B$10000)*1,ISNUMBER(SEARCH("T_b_c*ICE*DSL*s4",[1]OUT_TransportEnergyCons!$A$4:$A$10000))*1,[1]OUT_TransportEnergyCons!E$4:E$10000))*1000</f>
        <v>1.1968161353347422E-3</v>
      </c>
      <c r="H1991" s="1" cm="1">
        <f t="array" ref="H1991">(SUMPRODUCT(("Var_Cap"=[1]OUT_TransportEnergyCons!$B$4:$B$10000)*1,ISNUMBER(SEARCH("T_b_c*ICE*DSL*s4",[1]OUT_TransportEnergyCons!$A$4:$A$10000))*1,[1]OUT_TransportEnergyCons!F$4:F$10000))*1000</f>
        <v>1.410407421459771E-3</v>
      </c>
      <c r="I1991" s="1" cm="1">
        <f t="array" ref="I1991">(SUMPRODUCT(("Var_Cap"=[1]OUT_TransportEnergyCons!$B$4:$B$10000)*1,ISNUMBER(SEARCH("T_b_c*ICE*DSL*s4",[1]OUT_TransportEnergyCons!$A$4:$A$10000))*1,[1]OUT_TransportEnergyCons!G$4:G$10000))*1000</f>
        <v>-1.4155461629273814E-5</v>
      </c>
      <c r="J1991" s="1" cm="1">
        <f t="array" ref="J1991">(SUMPRODUCT(("Var_Cap"=[1]OUT_TransportEnergyCons!$B$4:$B$10000)*1,ISNUMBER(SEARCH("T_b_c*ICE*DSL*s4",[1]OUT_TransportEnergyCons!$A$4:$A$10000))*1,[1]OUT_TransportEnergyCons!H$4:H$10000))*1000</f>
        <v>-1.2950463551040301E-5</v>
      </c>
      <c r="K1991" s="1" cm="1">
        <f t="array" ref="K1991">(SUMPRODUCT(("Var_Cap"=[1]OUT_TransportEnergyCons!$B$4:$B$10000)*1,ISNUMBER(SEARCH("T_b_c*ICE*DSL*s4",[1]OUT_TransportEnergyCons!$A$4:$A$10000))*1,[1]OUT_TransportEnergyCons!I$4:I$10000))*1000</f>
        <v>0</v>
      </c>
    </row>
    <row r="1992" spans="2:11" x14ac:dyDescent="0.35">
      <c r="B1992" s="5" t="str">
        <f t="shared" si="1250"/>
        <v>SPS2</v>
      </c>
      <c r="C1992" s="5" t="str">
        <f t="shared" si="1256"/>
        <v>CH</v>
      </c>
      <c r="D1992" t="s">
        <v>2027</v>
      </c>
      <c r="E1992" t="s">
        <v>2000</v>
      </c>
      <c r="F1992" s="1" cm="1">
        <f t="array" ref="F1992">(SUMPRODUCT(("Var_Cap"=[1]OUT_TransportEnergyCons!$B$4:$B$10000)*1,ISNUMBER(SEARCH("T_b_c*ICE*nga*ext",[1]OUT_TransportEnergyCons!$A$4:$A$10000))*1,[1]OUT_TransportEnergyCons!D$4:D$10000))*1000</f>
        <v>2.97227926078029E-2</v>
      </c>
      <c r="G1992" s="1" cm="1">
        <f t="array" ref="G1992">(SUMPRODUCT(("Var_Cap"=[1]OUT_TransportEnergyCons!$B$4:$B$10000)*1,ISNUMBER(SEARCH("T_b_c*ICE*nga*ext",[1]OUT_TransportEnergyCons!$A$4:$A$10000))*1,[1]OUT_TransportEnergyCons!E$4:E$10000))*1000</f>
        <v>2.37782340862423E-2</v>
      </c>
      <c r="H1992" s="1" cm="1">
        <f t="array" ref="H1992">(SUMPRODUCT(("Var_Cap"=[1]OUT_TransportEnergyCons!$B$4:$B$10000)*1,ISNUMBER(SEARCH("T_b_c*ICE*nga*ext",[1]OUT_TransportEnergyCons!$A$4:$A$10000))*1,[1]OUT_TransportEnergyCons!F$4:F$10000))*1000</f>
        <v>1.4831767102497301E-2</v>
      </c>
      <c r="I1992" s="1" cm="1">
        <f t="array" ref="I1992">(SUMPRODUCT(("Var_Cap"=[1]OUT_TransportEnergyCons!$B$4:$B$10000)*1,ISNUMBER(SEARCH("T_b_c*ICE*nga*ext",[1]OUT_TransportEnergyCons!$A$4:$A$10000))*1,[1]OUT_TransportEnergyCons!G$4:G$10000))*1000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(SUMPRODUCT(("Var_Cap"=[1]OUT_TransportEnergyCons!$B$4:$B$10000)*1,ISNUMBER(SEARCH("T_b_c*ICE*nga*ext",[1]OUT_TransportEnergyCons!$A$4:$A$10000))*1,[1]OUT_TransportEnergyCons!H$4:H$10000))*1000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(SUMPRODUCT(("Var_Cap"=[1]OUT_TransportEnergyCons!$B$4:$B$10000)*1,ISNUMBER(SEARCH("T_b_c*ICE*nga*ext",[1]OUT_TransportEnergyCons!$A$4:$A$10000))*1,[1]OUT_TransportEnergyCons!I$4:I$10000))*1000</f>
        <v>0</v>
      </c>
    </row>
    <row r="1993" spans="2:11" x14ac:dyDescent="0.35">
      <c r="B1993" s="5" t="str">
        <f t="shared" si="1250"/>
        <v>SPS2</v>
      </c>
      <c r="C1993" s="5" t="str">
        <f t="shared" si="1256"/>
        <v>CH</v>
      </c>
      <c r="D1993" t="s">
        <v>2028</v>
      </c>
      <c r="E1993" t="s">
        <v>2000</v>
      </c>
      <c r="F1993" s="1" cm="1">
        <f t="array" ref="F1993">(SUMPRODUCT(("Var_Cap"=[1]OUT_TransportEnergyCons!$B$4:$B$10000)*1,ISNUMBER(SEARCH("T_b_c*ICE*nga*s1",[1]OUT_TransportEnergyCons!$A$4:$A$10000))*1,[1]OUT_TransportEnergyCons!D$4:D$10000))*1000</f>
        <v>0</v>
      </c>
      <c r="G1993" s="1" cm="1">
        <f t="array" ref="G1993">(SUMPRODUCT(("Var_Cap"=[1]OUT_TransportEnergyCons!$B$4:$B$10000)*1,ISNUMBER(SEARCH("T_b_c*ICE*nga*s1",[1]OUT_TransportEnergyCons!$A$4:$A$10000))*1,[1]OUT_TransportEnergyCons!E$4:E$10000))*1000</f>
        <v>8.22345752867004E-3</v>
      </c>
      <c r="H1993" s="1" cm="1">
        <f t="array" ref="H1993">(SUMPRODUCT(("Var_Cap"=[1]OUT_TransportEnergyCons!$B$4:$B$10000)*1,ISNUMBER(SEARCH("T_b_c*ICE*nga*s1",[1]OUT_TransportEnergyCons!$A$4:$A$10000))*1,[1]OUT_TransportEnergyCons!F$4:F$10000))*1000</f>
        <v>1.12381547086895E-2</v>
      </c>
      <c r="I1993" s="1" cm="1">
        <f t="array" ref="I1993">(SUMPRODUCT(("Var_Cap"=[1]OUT_TransportEnergyCons!$B$4:$B$10000)*1,ISNUMBER(SEARCH("T_b_c*ICE*nga*s1",[1]OUT_TransportEnergyCons!$A$4:$A$10000))*1,[1]OUT_TransportEnergyCons!G$4:G$10000))*1000</f>
        <v>3.5892224847500198E-5</v>
      </c>
      <c r="J1993" s="1" cm="1">
        <f t="array" ref="J1993">(SUMPRODUCT(("Var_Cap"=[1]OUT_TransportEnergyCons!$B$4:$B$10000)*1,ISNUMBER(SEARCH("T_b_c*ICE*nga*s1",[1]OUT_TransportEnergyCons!$A$4:$A$10000))*1,[1]OUT_TransportEnergyCons!H$4:H$10000))*1000</f>
        <v>6.299830132413449E-5</v>
      </c>
      <c r="K1993" s="1" cm="1">
        <f t="array" ref="K1993">(SUMPRODUCT(("Var_Cap"=[1]OUT_TransportEnergyCons!$B$4:$B$10000)*1,ISNUMBER(SEARCH("T_b_c*ICE*nga*s1",[1]OUT_TransportEnergyCons!$A$4:$A$10000))*1,[1]OUT_TransportEnergyCons!I$4:I$10000))*1000</f>
        <v>4.6289085104031099E-5</v>
      </c>
    </row>
    <row r="1994" spans="2:11" x14ac:dyDescent="0.35">
      <c r="B1994" s="5" t="str">
        <f t="shared" si="1250"/>
        <v>SPS2</v>
      </c>
      <c r="C1994" s="5" t="str">
        <f t="shared" si="1256"/>
        <v>CH</v>
      </c>
      <c r="D1994" t="s">
        <v>2029</v>
      </c>
      <c r="E1994" t="s">
        <v>2000</v>
      </c>
      <c r="F1994" s="1" cm="1">
        <f t="array" ref="F1994">(SUMPRODUCT(("Var_Cap"=[1]OUT_TransportEnergyCons!$B$4:$B$10000)*1,ISNUMBER(SEARCH("T_b_c*ICE*nga*s2",[1]OUT_TransportEnergyCons!$A$4:$A$10000))*1,[1]OUT_TransportEnergyCons!D$4:D$10000))*1000</f>
        <v>0</v>
      </c>
      <c r="G1994" s="1" cm="1">
        <f t="array" ref="G1994">(SUMPRODUCT(("Var_Cap"=[1]OUT_TransportEnergyCons!$B$4:$B$10000)*1,ISNUMBER(SEARCH("T_b_c*ICE*nga*s2",[1]OUT_TransportEnergyCons!$A$4:$A$10000))*1,[1]OUT_TransportEnergyCons!E$4:E$10000))*1000</f>
        <v>1.2728524528116199E-3</v>
      </c>
      <c r="H1994" s="1" cm="1">
        <f t="array" ref="H1994">(SUMPRODUCT(("Var_Cap"=[1]OUT_TransportEnergyCons!$B$4:$B$10000)*1,ISNUMBER(SEARCH("T_b_c*ICE*nga*s2",[1]OUT_TransportEnergyCons!$A$4:$A$10000))*1,[1]OUT_TransportEnergyCons!F$4:F$10000))*1000</f>
        <v>3.1513319311222798E-3</v>
      </c>
      <c r="I1994" s="1" cm="1">
        <f t="array" ref="I1994">(SUMPRODUCT(("Var_Cap"=[1]OUT_TransportEnergyCons!$B$4:$B$10000)*1,ISNUMBER(SEARCH("T_b_c*ICE*nga*s2",[1]OUT_TransportEnergyCons!$A$4:$A$10000))*1,[1]OUT_TransportEnergyCons!G$4:G$10000))*1000</f>
        <v>2.6144972473460214E-5</v>
      </c>
      <c r="J1994" s="1" cm="1">
        <f t="array" ref="J1994">(SUMPRODUCT(("Var_Cap"=[1]OUT_TransportEnergyCons!$B$4:$B$10000)*1,ISNUMBER(SEARCH("T_b_c*ICE*nga*s2",[1]OUT_TransportEnergyCons!$A$4:$A$10000))*1,[1]OUT_TransportEnergyCons!H$4:H$10000))*1000</f>
        <v>2.5753112464563902E-5</v>
      </c>
      <c r="K1994" s="1" cm="1">
        <f t="array" ref="K1994">(SUMPRODUCT(("Var_Cap"=[1]OUT_TransportEnergyCons!$B$4:$B$10000)*1,ISNUMBER(SEARCH("T_b_c*ICE*nga*s2",[1]OUT_TransportEnergyCons!$A$4:$A$10000))*1,[1]OUT_TransportEnergyCons!I$4:I$10000))*1000</f>
        <v>4.1602758225387498E-5</v>
      </c>
    </row>
    <row r="1995" spans="2:11" x14ac:dyDescent="0.35">
      <c r="B1995" s="5" t="str">
        <f t="shared" si="1250"/>
        <v>SPS2</v>
      </c>
      <c r="C1995" s="5" t="str">
        <f t="shared" si="1256"/>
        <v>CH</v>
      </c>
      <c r="D1995" t="s">
        <v>2030</v>
      </c>
      <c r="E1995" t="s">
        <v>2000</v>
      </c>
      <c r="F1995" s="1" cm="1">
        <f t="array" ref="F1995">(SUMPRODUCT(("Var_Cap"=[1]OUT_TransportEnergyCons!$B$4:$B$10000)*1,ISNUMBER(SEARCH("T_b_c*ICE*nga*s3",[1]OUT_TransportEnergyCons!$A$4:$A$10000))*1,[1]OUT_TransportEnergyCons!D$4:D$10000))*1000</f>
        <v>0</v>
      </c>
      <c r="G1995" s="1" cm="1">
        <f t="array" ref="G1995">(SUMPRODUCT(("Var_Cap"=[1]OUT_TransportEnergyCons!$B$4:$B$10000)*1,ISNUMBER(SEARCH("T_b_c*ICE*nga*s3",[1]OUT_TransportEnergyCons!$A$4:$A$10000))*1,[1]OUT_TransportEnergyCons!E$4:E$10000))*1000</f>
        <v>6.0864839395708803E-4</v>
      </c>
      <c r="H1995" s="1" cm="1">
        <f t="array" ref="H1995">(SUMPRODUCT(("Var_Cap"=[1]OUT_TransportEnergyCons!$B$4:$B$10000)*1,ISNUMBER(SEARCH("T_b_c*ICE*nga*s3",[1]OUT_TransportEnergyCons!$A$4:$A$10000))*1,[1]OUT_TransportEnergyCons!F$4:F$10000))*1000</f>
        <v>1.4203679695748502E-3</v>
      </c>
      <c r="I1995" s="1" cm="1">
        <f t="array" ref="I1995">(SUMPRODUCT(("Var_Cap"=[1]OUT_TransportEnergyCons!$B$4:$B$10000)*1,ISNUMBER(SEARCH("T_b_c*ICE*nga*s3",[1]OUT_TransportEnergyCons!$A$4:$A$10000))*1,[1]OUT_TransportEnergyCons!G$4:G$10000))*1000</f>
        <v>4.3780367420889975E-5</v>
      </c>
      <c r="J1995" s="1" cm="1">
        <f t="array" ref="J1995">(SUMPRODUCT(("Var_Cap"=[1]OUT_TransportEnergyCons!$B$4:$B$10000)*1,ISNUMBER(SEARCH("T_b_c*ICE*nga*s3",[1]OUT_TransportEnergyCons!$A$4:$A$10000))*1,[1]OUT_TransportEnergyCons!H$4:H$10000))*1000</f>
        <v>3.9704748203270896E-5</v>
      </c>
      <c r="K1995" s="1" cm="1">
        <f t="array" ref="K1995">(SUMPRODUCT(("Var_Cap"=[1]OUT_TransportEnergyCons!$B$4:$B$10000)*1,ISNUMBER(SEARCH("T_b_c*ICE*nga*s3",[1]OUT_TransportEnergyCons!$A$4:$A$10000))*1,[1]OUT_TransportEnergyCons!I$4:I$10000))*1000</f>
        <v>9.0842204315627105E-6</v>
      </c>
    </row>
    <row r="1996" spans="2:11" x14ac:dyDescent="0.35">
      <c r="B1996" s="5" t="str">
        <f t="shared" si="1250"/>
        <v>SPS2</v>
      </c>
      <c r="C1996" s="5" t="str">
        <f t="shared" si="1256"/>
        <v>CH</v>
      </c>
      <c r="D1996" t="s">
        <v>2031</v>
      </c>
      <c r="E1996" t="s">
        <v>2000</v>
      </c>
      <c r="F1996" s="1" cm="1">
        <f t="array" ref="F1996">(SUMPRODUCT(("Var_Cap"=[1]OUT_TransportEnergyCons!$B$4:$B$10000)*1,ISNUMBER(SEARCH("T_b_c*ICE*nga*s4",[1]OUT_TransportEnergyCons!$A$4:$A$10000))*1,[1]OUT_TransportEnergyCons!D$4:D$10000))*1000</f>
        <v>0</v>
      </c>
      <c r="G1996" s="1" cm="1">
        <f t="array" ref="G1996">(SUMPRODUCT(("Var_Cap"=[1]OUT_TransportEnergyCons!$B$4:$B$10000)*1,ISNUMBER(SEARCH("T_b_c*ICE*nga*s4",[1]OUT_TransportEnergyCons!$A$4:$A$10000))*1,[1]OUT_TransportEnergyCons!E$4:E$10000))*1000</f>
        <v>8.9162269327235994E-5</v>
      </c>
      <c r="H1996" s="1" cm="1">
        <f t="array" ref="H1996">(SUMPRODUCT(("Var_Cap"=[1]OUT_TransportEnergyCons!$B$4:$B$10000)*1,ISNUMBER(SEARCH("T_b_c*ICE*nga*s4",[1]OUT_TransportEnergyCons!$A$4:$A$10000))*1,[1]OUT_TransportEnergyCons!F$4:F$10000))*1000</f>
        <v>2.1570249176209498E-4</v>
      </c>
      <c r="I1996" s="1" cm="1">
        <f t="array" ref="I1996">(SUMPRODUCT(("Var_Cap"=[1]OUT_TransportEnergyCons!$B$4:$B$10000)*1,ISNUMBER(SEARCH("T_b_c*ICE*nga*s4",[1]OUT_TransportEnergyCons!$A$4:$A$10000))*1,[1]OUT_TransportEnergyCons!G$4:G$10000))*1000</f>
        <v>1.4830135236331994E-5</v>
      </c>
      <c r="J1996" s="1" cm="1">
        <f t="array" ref="J1996">(SUMPRODUCT(("Var_Cap"=[1]OUT_TransportEnergyCons!$B$4:$B$10000)*1,ISNUMBER(SEARCH("T_b_c*ICE*nga*s4",[1]OUT_TransportEnergyCons!$A$4:$A$10000))*1,[1]OUT_TransportEnergyCons!H$4:H$10000))*1000</f>
        <v>-3.7753098807623097E-5</v>
      </c>
      <c r="K1996" s="1" cm="1">
        <f t="array" ref="K1996">(SUMPRODUCT(("Var_Cap"=[1]OUT_TransportEnergyCons!$B$4:$B$10000)*1,ISNUMBER(SEARCH("T_b_c*ICE*nga*s4",[1]OUT_TransportEnergyCons!$A$4:$A$10000))*1,[1]OUT_TransportEnergyCons!I$4:I$10000))*1000</f>
        <v>0</v>
      </c>
    </row>
    <row r="1997" spans="2:11" x14ac:dyDescent="0.35">
      <c r="B1997" s="5" t="str">
        <f t="shared" si="1250"/>
        <v>SPS2</v>
      </c>
      <c r="C1997" s="5" t="str">
        <f>C1996</f>
        <v>CH</v>
      </c>
      <c r="D1997" s="2" t="s">
        <v>2122</v>
      </c>
      <c r="E1997" s="2" t="s">
        <v>2000</v>
      </c>
      <c r="F1997" s="3">
        <f>SUM(F1998:F2006)</f>
        <v>399.86494077801484</v>
      </c>
      <c r="G1997" s="3">
        <f t="shared" ref="G1997:K1997" si="1257">SUM(G1998:G2006)</f>
        <v>399.40200130546009</v>
      </c>
      <c r="H1997" s="3">
        <f t="shared" si="1257"/>
        <v>406.33971251542295</v>
      </c>
      <c r="I1997" s="3">
        <f t="shared" si="1257"/>
        <v>417.90416460348553</v>
      </c>
      <c r="J1997" s="3">
        <f t="shared" si="1257"/>
        <v>470.54761357910445</v>
      </c>
      <c r="K1997" s="3">
        <f t="shared" si="1257"/>
        <v>536.66872831933517</v>
      </c>
    </row>
    <row r="1998" spans="2:11" x14ac:dyDescent="0.35">
      <c r="B1998" s="5" t="str">
        <f t="shared" si="1250"/>
        <v>SPS2</v>
      </c>
      <c r="C1998" s="5" t="str">
        <f t="shared" ref="C1998:C2006" si="1258">C1997</f>
        <v>CH</v>
      </c>
      <c r="D1998" t="s">
        <v>2123</v>
      </c>
      <c r="E1998" t="s">
        <v>2000</v>
      </c>
      <c r="F1998" s="1" cm="1">
        <f t="array" ref="F1998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1998" s="1" cm="1">
        <f t="array" ref="G1998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1998" s="1" cm="1">
        <f t="array" ref="H1998">(SUMPRODUCT(("Var_Cap"=[1]OUT_TransportEnergyCons!$B$4:$B$10000)*1,("-"=[1]OUT_TransportEnergyCons!$C$4:$C$10000)*1,ISNUMBER(SEARCH("tfl*bev*ext",[1]OUT_TransportEnergyCons!$A$4:$A$10000))*1,[1]OUT_TransportEnergyCons!F$4:F$10000))*1000</f>
        <v>1.2999887519682658</v>
      </c>
      <c r="I1998" s="1" cm="1">
        <f t="array" ref="I1998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1998" s="1" cm="1">
        <f t="array" ref="J1998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1998" s="1" cm="1">
        <f t="array" ref="K1998">(SUMPRODUCT(("Var_Cap"=[1]OUT_TransportEnergyCons!$B$4:$B$10000)*1,("-"=[1]OUT_TransportEnergyCons!$C$4:$C$10000)*1,ISNUMBER(SEARCH("tfl*bev*ext",[1]OUT_TransportEnergyCons!$A$4:$A$10000))*1,[1]OUT_TransportEnergyCons!I$4:I$10000))*1000</f>
        <v>0</v>
      </c>
    </row>
    <row r="1999" spans="2:11" x14ac:dyDescent="0.35">
      <c r="B1999" s="5" t="str">
        <f t="shared" si="1250"/>
        <v>SPS2</v>
      </c>
      <c r="C1999" s="5" t="str">
        <f t="shared" si="1258"/>
        <v>CH</v>
      </c>
      <c r="D1999" t="s">
        <v>2124</v>
      </c>
      <c r="E1999" t="s">
        <v>2000</v>
      </c>
      <c r="F1999" s="1" cm="1">
        <f t="array" ref="F1999">(SUMPRODUCT(("Var_Cap"=[1]OUT_TransportEnergyCons!$B$4:$B$10000)*1,("-"=[1]OUT_TransportEnergyCons!$C$4:$C$10000)*1,ISNUMBER(SEARCH("tfl*bev*",[1]OUT_TransportEnergyCons!$A$4:$A$10000))*1,[1]OUT_TransportEnergyCons!D$4:D$10000))*1000-F1998</f>
        <v>1.6986773942924678</v>
      </c>
      <c r="G1999" s="1" cm="1">
        <f t="array" ref="G1999">(SUMPRODUCT(("Var_Cap"=[1]OUT_TransportEnergyCons!$B$4:$B$10000)*1,("-"=[1]OUT_TransportEnergyCons!$C$4:$C$10000)*1,ISNUMBER(SEARCH("tfl*bev*",[1]OUT_TransportEnergyCons!$A$4:$A$10000))*1,[1]OUT_TransportEnergyCons!E$4:E$10000))*1000-G1998</f>
        <v>4.4380629245753171</v>
      </c>
      <c r="H1999" s="1" cm="1">
        <f t="array" ref="H1999">(SUMPRODUCT(("Var_Cap"=[1]OUT_TransportEnergyCons!$B$4:$B$10000)*1,("-"=[1]OUT_TransportEnergyCons!$C$4:$C$10000)*1,ISNUMBER(SEARCH("tfl*bev*",[1]OUT_TransportEnergyCons!$A$4:$A$10000))*1,[1]OUT_TransportEnergyCons!F$4:F$10000))*1000-H1998</f>
        <v>6.6069031319678668</v>
      </c>
      <c r="I1999" s="1" cm="1">
        <f t="array" ref="I1999">(SUMPRODUCT(("Var_Cap"=[1]OUT_TransportEnergyCons!$B$4:$B$10000)*1,("-"=[1]OUT_TransportEnergyCons!$C$4:$C$10000)*1,ISNUMBER(SEARCH("tfl*bev*",[1]OUT_TransportEnergyCons!$A$4:$A$10000))*1,[1]OUT_TransportEnergyCons!G$4:G$10000))*1000-I1998</f>
        <v>174.82371616225393</v>
      </c>
      <c r="J1999" s="1" cm="1">
        <f t="array" ref="J1999">(SUMPRODUCT(("Var_Cap"=[1]OUT_TransportEnergyCons!$B$4:$B$10000)*1,("-"=[1]OUT_TransportEnergyCons!$C$4:$C$10000)*1,ISNUMBER(SEARCH("tfl*bev*",[1]OUT_TransportEnergyCons!$A$4:$A$10000))*1,[1]OUT_TransportEnergyCons!H$4:H$10000))*1000-J1998</f>
        <v>470.50959269419036</v>
      </c>
      <c r="K1999" s="1" cm="1">
        <f t="array" ref="K1999">(SUMPRODUCT(("Var_Cap"=[1]OUT_TransportEnergyCons!$B$4:$B$10000)*1,("-"=[1]OUT_TransportEnergyCons!$C$4:$C$10000)*1,ISNUMBER(SEARCH("tfl*bev*",[1]OUT_TransportEnergyCons!$A$4:$A$10000))*1,[1]OUT_TransportEnergyCons!I$4:I$10000))*1000-K1998</f>
        <v>536.66673380685995</v>
      </c>
    </row>
    <row r="2000" spans="2:11" x14ac:dyDescent="0.35">
      <c r="B2000" s="5" t="str">
        <f t="shared" si="1250"/>
        <v>SPS2</v>
      </c>
      <c r="C2000" s="5" t="str">
        <f t="shared" si="1258"/>
        <v>CH</v>
      </c>
      <c r="D2000" t="s">
        <v>2125</v>
      </c>
      <c r="E2000" t="s">
        <v>2000</v>
      </c>
      <c r="F2000" s="1" cm="1">
        <f t="array" ref="F2000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0" s="1" cm="1">
        <f t="array" ref="G2000">(SUMPRODUCT(("Var_Cap"=[1]OUT_TransportEnergyCons!$B$4:$B$10000)*1,("-"=[1]OUT_TransportEnergyCons!$C$4:$C$10000)*1,ISNUMBER(SEARCH("tfl*h2o*",[1]OUT_TransportEnergyCons!$A$4:$A$10000))*1,[1]OUT_TransportEnergyCons!E$4:E$10000))*1000</f>
        <v>5.1449274881720094E-3</v>
      </c>
      <c r="H2000" s="1" cm="1">
        <f t="array" ref="H2000">(SUMPRODUCT(("Var_Cap"=[1]OUT_TransportEnergyCons!$B$4:$B$10000)*1,("-"=[1]OUT_TransportEnergyCons!$C$4:$C$10000)*1,ISNUMBER(SEARCH("tfl*h2o*",[1]OUT_TransportEnergyCons!$A$4:$A$10000))*1,[1]OUT_TransportEnergyCons!F$4:F$10000))*1000</f>
        <v>7.8507047215990809E-3</v>
      </c>
      <c r="I2000" s="1" cm="1">
        <f t="array" ref="I2000">(SUMPRODUCT(("Var_Cap"=[1]OUT_TransportEnergyCons!$B$4:$B$10000)*1,("-"=[1]OUT_TransportEnergyCons!$C$4:$C$10000)*1,ISNUMBER(SEARCH("tfl*h2o*",[1]OUT_TransportEnergyCons!$A$4:$A$10000))*1,[1]OUT_TransportEnergyCons!G$4:G$10000))*1000</f>
        <v>2.1170064927495194E-3</v>
      </c>
      <c r="J2000" s="1" cm="1">
        <f t="array" ref="J2000">(SUMPRODUCT(("Var_Cap"=[1]OUT_TransportEnergyCons!$B$4:$B$10000)*1,("-"=[1]OUT_TransportEnergyCons!$C$4:$C$10000)*1,ISNUMBER(SEARCH("tfl*h2o*",[1]OUT_TransportEnergyCons!$A$4:$A$10000))*1,[1]OUT_TransportEnergyCons!H$4:H$10000))*1000</f>
        <v>1.9414377132059739E-3</v>
      </c>
      <c r="K2000" s="1" cm="1">
        <f t="array" ref="K2000">(SUMPRODUCT(("Var_Cap"=[1]OUT_TransportEnergyCons!$B$4:$B$10000)*1,("-"=[1]OUT_TransportEnergyCons!$C$4:$C$10000)*1,ISNUMBER(SEARCH("tfl*h2o*",[1]OUT_TransportEnergyCons!$A$4:$A$10000))*1,[1]OUT_TransportEnergyCons!I$4:I$10000))*1000</f>
        <v>1.99451247523881E-3</v>
      </c>
    </row>
    <row r="2001" spans="2:11" x14ac:dyDescent="0.35">
      <c r="B2001" s="5" t="str">
        <f t="shared" si="1250"/>
        <v>SPS2</v>
      </c>
      <c r="C2001" s="5" t="str">
        <f t="shared" si="1258"/>
        <v>CH</v>
      </c>
      <c r="D2001" t="s">
        <v>2126</v>
      </c>
      <c r="E2001" t="s">
        <v>2000</v>
      </c>
      <c r="F2001" s="1" cm="1">
        <f t="array" ref="F2001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1" s="1" cm="1">
        <f t="array" ref="G2001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1" s="1" cm="1">
        <f t="array" ref="H2001">(SUMPRODUCT(("Var_Cap"=[1]OUT_TransportEnergyCons!$B$4:$B$10000)*1,("-"=[1]OUT_TransportEnergyCons!$C$4:$C$10000)*1,ISNUMBER(SEARCH("TfL*ICE*GSL*ext",[1]OUT_TransportEnergyCons!$A$4:$A$10000))*1,[1]OUT_TransportEnergyCons!F$4:F$10000))*1000</f>
        <v>30.63463374332526</v>
      </c>
      <c r="I2001" s="1" cm="1">
        <f t="array" ref="I2001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1" s="1" cm="1">
        <f t="array" ref="J2001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1" s="1" cm="1">
        <f t="array" ref="K2001">(SUMPRODUCT(("Var_Cap"=[1]OUT_TransportEnergyCons!$B$4:$B$10000)*1,("-"=[1]OUT_TransportEnergyCons!$C$4:$C$10000)*1,ISNUMBER(SEARCH("TfL*ICE*GSL*ext",[1]OUT_TransportEnergyCons!$A$4:$A$10000))*1,[1]OUT_TransportEnergyCons!I$4:I$10000))*1000</f>
        <v>0</v>
      </c>
    </row>
    <row r="2002" spans="2:11" x14ac:dyDescent="0.35">
      <c r="B2002" s="5" t="str">
        <f t="shared" si="1250"/>
        <v>SPS2</v>
      </c>
      <c r="C2002" s="5" t="str">
        <f t="shared" si="1258"/>
        <v>CH</v>
      </c>
      <c r="D2002" t="s">
        <v>2127</v>
      </c>
      <c r="E2002" t="s">
        <v>2000</v>
      </c>
      <c r="F2002" s="1" cm="1">
        <f t="array" ref="F2002">(SUMPRODUCT(("Var_Cap"=[1]OUT_TransportEnergyCons!$B$4:$B$10000)*1,("-"=[1]OUT_TransportEnergyCons!$C$4:$C$10000)*1,ISNUMBER(SEARCH("TfL*ICE*GSL*",[1]OUT_TransportEnergyCons!$A$4:$A$10000))*1,[1]OUT_TransportEnergyCons!D$4:D$10000))*1000-F2001</f>
        <v>12.434346899819616</v>
      </c>
      <c r="G2002" s="1" cm="1">
        <f t="array" ref="G2002">(SUMPRODUCT(("Var_Cap"=[1]OUT_TransportEnergyCons!$B$4:$B$10000)*1,("-"=[1]OUT_TransportEnergyCons!$C$4:$C$10000)*1,ISNUMBER(SEARCH("TfL*ICE*GSL*",[1]OUT_TransportEnergyCons!$A$4:$A$10000))*1,[1]OUT_TransportEnergyCons!E$4:E$10000))*1000-G2001</f>
        <v>16.267053992225947</v>
      </c>
      <c r="H2002" s="1" cm="1">
        <f t="array" ref="H2002">(SUMPRODUCT(("Var_Cap"=[1]OUT_TransportEnergyCons!$B$4:$B$10000)*1,("-"=[1]OUT_TransportEnergyCons!$C$4:$C$10000)*1,ISNUMBER(SEARCH("TfL*ICE*GSL*",[1]OUT_TransportEnergyCons!$A$4:$A$10000))*1,[1]OUT_TransportEnergyCons!F$4:F$10000))*1000-H2001</f>
        <v>28.772568266683024</v>
      </c>
      <c r="I2002" s="1" cm="1">
        <f t="array" ref="I2002">(SUMPRODUCT(("Var_Cap"=[1]OUT_TransportEnergyCons!$B$4:$B$10000)*1,("-"=[1]OUT_TransportEnergyCons!$C$4:$C$10000)*1,ISNUMBER(SEARCH("TfL*ICE*GSL*",[1]OUT_TransportEnergyCons!$A$4:$A$10000))*1,[1]OUT_TransportEnergyCons!G$4:G$10000))*1000-I2001</f>
        <v>22.164979430189103</v>
      </c>
      <c r="J2002" s="1" cm="1">
        <f t="array" ref="J2002">(SUMPRODUCT(("Var_Cap"=[1]OUT_TransportEnergyCons!$B$4:$B$10000)*1,("-"=[1]OUT_TransportEnergyCons!$C$4:$C$10000)*1,ISNUMBER(SEARCH("TfL*ICE*GSL*",[1]OUT_TransportEnergyCons!$A$4:$A$10000))*1,[1]OUT_TransportEnergyCons!H$4:H$10000))*1000-J2001</f>
        <v>1.3607661200723362E-2</v>
      </c>
      <c r="K2002" s="1" cm="1">
        <f t="array" ref="K2002">(SUMPRODUCT(("Var_Cap"=[1]OUT_TransportEnergyCons!$B$4:$B$10000)*1,("-"=[1]OUT_TransportEnergyCons!$C$4:$C$10000)*1,ISNUMBER(SEARCH("TfL*ICE*GSL*",[1]OUT_TransportEnergyCons!$A$4:$A$10000))*1,[1]OUT_TransportEnergyCons!I$4:I$10000))*1000-K2001</f>
        <v>0</v>
      </c>
    </row>
    <row r="2003" spans="2:11" x14ac:dyDescent="0.35">
      <c r="B2003" s="5" t="str">
        <f t="shared" si="1250"/>
        <v>SPS2</v>
      </c>
      <c r="C2003" s="5" t="str">
        <f t="shared" si="1258"/>
        <v>CH</v>
      </c>
      <c r="D2003" t="s">
        <v>2128</v>
      </c>
      <c r="E2003" t="s">
        <v>2000</v>
      </c>
      <c r="F2003" s="1" cm="1">
        <f t="array" ref="F2003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3" s="1" cm="1">
        <f t="array" ref="G2003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3" s="1" cm="1">
        <f t="array" ref="H2003">(SUMPRODUCT(("Var_Cap"=[1]OUT_TransportEnergyCons!$B$4:$B$10000)*1,("-"=[1]OUT_TransportEnergyCons!$C$4:$C$10000)*1,ISNUMBER(SEARCH("tfl*ICE*DSL*ext",[1]OUT_TransportEnergyCons!$A$4:$A$10000))*1,[1]OUT_TransportEnergyCons!F$4:F$10000))*1000</f>
        <v>152.66192998408681</v>
      </c>
      <c r="I2003" s="1" cm="1">
        <f t="array" ref="I2003">(SUMPRODUCT(("Var_Cap"=[1]OUT_TransportEnergyCons!$B$4:$B$10000)*1,("-"=[1]OUT_TransportEnergyCons!$C$4:$C$10000)*1,ISNUMBER(SEARCH("tfl*ICE*DSL*ext",[1]OUT_TransportEnergyCons!$A$4:$A$10000))*1,[1]OUT_TransportEnergyCons!G$4:G$10000))*1000</f>
        <v>76.330789049731663</v>
      </c>
      <c r="J2003" s="1" cm="1">
        <f t="array" ref="J2003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(SUMPRODUCT(("Var_Cap"=[1]OUT_TransportEnergyCons!$B$4:$B$10000)*1,("-"=[1]OUT_TransportEnergyCons!$C$4:$C$10000)*1,ISNUMBER(SEARCH("tfl*ICE*DSL*ext",[1]OUT_TransportEnergyCons!$A$4:$A$10000))*1,[1]OUT_TransportEnergyCons!I$4:I$10000))*1000</f>
        <v>0</v>
      </c>
    </row>
    <row r="2004" spans="2:11" x14ac:dyDescent="0.35">
      <c r="B2004" s="5" t="str">
        <f t="shared" si="1250"/>
        <v>SPS2</v>
      </c>
      <c r="C2004" s="5" t="str">
        <f t="shared" si="1258"/>
        <v>CH</v>
      </c>
      <c r="D2004" t="s">
        <v>2129</v>
      </c>
      <c r="E2004" t="s">
        <v>2000</v>
      </c>
      <c r="F2004" s="1" cm="1">
        <f t="array" ref="F2004">(SUMPRODUCT(("Var_Cap"=[1]OUT_TransportEnergyCons!$B$4:$B$10000)*1,("-"=[1]OUT_TransportEnergyCons!$C$4:$C$10000)*1,ISNUMBER(SEARCH("tfl*ICE*DSL*",[1]OUT_TransportEnergyCons!$A$4:$A$10000))*1,[1]OUT_TransportEnergyCons!D$4:D$10000))*1000-F2003</f>
        <v>106.16826052639635</v>
      </c>
      <c r="G2004" s="1" cm="1">
        <f t="array" ref="G2004">(SUMPRODUCT(("Var_Cap"=[1]OUT_TransportEnergyCons!$B$4:$B$10000)*1,("-"=[1]OUT_TransportEnergyCons!$C$4:$C$10000)*1,ISNUMBER(SEARCH("tfl*ICE*DSL*",[1]OUT_TransportEnergyCons!$A$4:$A$10000))*1,[1]OUT_TransportEnergyCons!E$4:E$10000))*1000-G2003</f>
        <v>125.22359269056358</v>
      </c>
      <c r="H2004" s="1" cm="1">
        <f t="array" ref="H2004">(SUMPRODUCT(("Var_Cap"=[1]OUT_TransportEnergyCons!$B$4:$B$10000)*1,("-"=[1]OUT_TransportEnergyCons!$C$4:$C$10000)*1,ISNUMBER(SEARCH("tfl*ICE*DSL*",[1]OUT_TransportEnergyCons!$A$4:$A$10000))*1,[1]OUT_TransportEnergyCons!F$4:F$10000))*1000-H2003</f>
        <v>125.59186529261567</v>
      </c>
      <c r="I2004" s="1" cm="1">
        <f t="array" ref="I2004">(SUMPRODUCT(("Var_Cap"=[1]OUT_TransportEnergyCons!$B$4:$B$10000)*1,("-"=[1]OUT_TransportEnergyCons!$C$4:$C$10000)*1,ISNUMBER(SEARCH("tfl*ICE*DSL*",[1]OUT_TransportEnergyCons!$A$4:$A$10000))*1,[1]OUT_TransportEnergyCons!G$4:G$10000))*1000-I2003</f>
        <v>71.319638595518683</v>
      </c>
      <c r="J2004" s="1" cm="1">
        <f t="array" ref="J2004">(SUMPRODUCT(("Var_Cap"=[1]OUT_TransportEnergyCons!$B$4:$B$10000)*1,("-"=[1]OUT_TransportEnergyCons!$C$4:$C$10000)*1,ISNUMBER(SEARCH("tfl*ICE*DSL*",[1]OUT_TransportEnergyCons!$A$4:$A$10000))*1,[1]OUT_TransportEnergyCons!H$4:H$10000))*1000-J2003</f>
        <v>8.4449657778465706E-3</v>
      </c>
      <c r="K2004" s="1" cm="1">
        <f t="array" ref="K2004">(SUMPRODUCT(("Var_Cap"=[1]OUT_TransportEnergyCons!$B$4:$B$10000)*1,("-"=[1]OUT_TransportEnergyCons!$C$4:$C$10000)*1,ISNUMBER(SEARCH("tfl*ICE*DSL*",[1]OUT_TransportEnergyCons!$A$4:$A$10000))*1,[1]OUT_TransportEnergyCons!I$4:I$10000))*1000-K2003</f>
        <v>0</v>
      </c>
    </row>
    <row r="2005" spans="2:11" x14ac:dyDescent="0.35">
      <c r="B2005" s="5" t="str">
        <f t="shared" si="1250"/>
        <v>SPS2</v>
      </c>
      <c r="C2005" s="5" t="str">
        <f t="shared" si="1258"/>
        <v>CH</v>
      </c>
      <c r="D2005" t="s">
        <v>2130</v>
      </c>
      <c r="E2005" t="s">
        <v>2000</v>
      </c>
      <c r="F2005" s="1" cm="1">
        <f t="array" ref="F2005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(SUMPRODUCT(("Var_Cap"=[1]OUT_TransportEnergyCons!$B$4:$B$10000)*1,("-"=[1]OUT_TransportEnergyCons!$C$4:$C$10000)*1,ISNUMBER(SEARCH("tfl*hyb*DSL*",[1]OUT_TransportEnergyCons!$A$4:$A$10000))*1,[1]OUT_TransportEnergyCons!E$4:E$10000))*1000</f>
        <v>10.9657439150894</v>
      </c>
      <c r="H2005" s="1" cm="1">
        <f t="array" ref="H2005">(SUMPRODUCT(("Var_Cap"=[1]OUT_TransportEnergyCons!$B$4:$B$10000)*1,("-"=[1]OUT_TransportEnergyCons!$C$4:$C$10000)*1,ISNUMBER(SEARCH("tfl*hyb*DSL*",[1]OUT_TransportEnergyCons!$A$4:$A$10000))*1,[1]OUT_TransportEnergyCons!F$4:F$10000))*1000</f>
        <v>58.648698994070259</v>
      </c>
      <c r="I2005" s="1" cm="1">
        <f t="array" ref="I2005">(SUMPRODUCT(("Var_Cap"=[1]OUT_TransportEnergyCons!$B$4:$B$10000)*1,("-"=[1]OUT_TransportEnergyCons!$C$4:$C$10000)*1,ISNUMBER(SEARCH("tfl*hyb*DSL*",[1]OUT_TransportEnergyCons!$A$4:$A$10000))*1,[1]OUT_TransportEnergyCons!G$4:G$10000))*1000</f>
        <v>57.273257813040409</v>
      </c>
      <c r="J2005" s="1" cm="1">
        <f t="array" ref="J2005">(SUMPRODUCT(("Var_Cap"=[1]OUT_TransportEnergyCons!$B$4:$B$10000)*1,("-"=[1]OUT_TransportEnergyCons!$C$4:$C$10000)*1,ISNUMBER(SEARCH("tfl*hyb*DSL*",[1]OUT_TransportEnergyCons!$A$4:$A$10000))*1,[1]OUT_TransportEnergyCons!H$4:H$10000))*1000</f>
        <v>1.2880279777892552E-2</v>
      </c>
      <c r="K2005" s="1" cm="1">
        <f t="array" ref="K2005">(SUMPRODUCT(("Var_Cap"=[1]OUT_TransportEnergyCons!$B$4:$B$10000)*1,("-"=[1]OUT_TransportEnergyCons!$C$4:$C$10000)*1,ISNUMBER(SEARCH("tfl*hyb*DSL*",[1]OUT_TransportEnergyCons!$A$4:$A$10000))*1,[1]OUT_TransportEnergyCons!I$4:I$10000))*1000</f>
        <v>0</v>
      </c>
    </row>
    <row r="2006" spans="2:11" x14ac:dyDescent="0.35">
      <c r="B2006" s="5" t="str">
        <f t="shared" si="1250"/>
        <v>SPS2</v>
      </c>
      <c r="C2006" s="5" t="str">
        <f t="shared" si="1258"/>
        <v>CH</v>
      </c>
      <c r="D2006" t="s">
        <v>2131</v>
      </c>
      <c r="E2006" t="s">
        <v>2000</v>
      </c>
      <c r="F2006" s="1" cm="1">
        <f t="array" ref="F2006">(SUMPRODUCT(("Var_Cap"=[1]OUT_TransportEnergyCons!$B$4:$B$10000)*1,("-"=[1]OUT_TransportEnergyCons!$C$4:$C$10000)*1,ISNUMBER(SEARCH("tfl*ice*nga*",[1]OUT_TransportEnergyCons!$A$4:$A$10000))*1,[1]OUT_TransportEnergyCons!D$4:D$10000))*1000</f>
        <v>2.6686559575063908</v>
      </c>
      <c r="G2006" s="1" cm="1">
        <f t="array" ref="G2006">(SUMPRODUCT(("Var_Cap"=[1]OUT_TransportEnergyCons!$B$4:$B$10000)*1,("-"=[1]OUT_TransportEnergyCons!$C$4:$C$10000)*1,ISNUMBER(SEARCH("tfl*ice*nga*",[1]OUT_TransportEnergyCons!$A$4:$A$10000))*1,[1]OUT_TransportEnergyCons!E$4:E$10000))*1000</f>
        <v>2.5267361888509514</v>
      </c>
      <c r="H2006" s="1" cm="1">
        <f t="array" ref="H2006">(SUMPRODUCT(("Var_Cap"=[1]OUT_TransportEnergyCons!$B$4:$B$10000)*1,("-"=[1]OUT_TransportEnergyCons!$C$4:$C$10000)*1,ISNUMBER(SEARCH("tfl*ice*nga*",[1]OUT_TransportEnergyCons!$A$4:$A$10000))*1,[1]OUT_TransportEnergyCons!F$4:F$10000))*1000</f>
        <v>2.1152736459841344</v>
      </c>
      <c r="I2006" s="1" cm="1">
        <f t="array" ref="I2006">(SUMPRODUCT(("Var_Cap"=[1]OUT_TransportEnergyCons!$B$4:$B$10000)*1,("-"=[1]OUT_TransportEnergyCons!$C$4:$C$10000)*1,ISNUMBER(SEARCH("tfl*ice*nga*",[1]OUT_TransportEnergyCons!$A$4:$A$10000))*1,[1]OUT_TransportEnergyCons!G$4:G$10000))*1000</f>
        <v>2.2333212925648716E-2</v>
      </c>
      <c r="J2006" s="1" cm="1">
        <f t="array" ref="J2006">(SUMPRODUCT(("Var_Cap"=[1]OUT_TransportEnergyCons!$B$4:$B$10000)*1,("-"=[1]OUT_TransportEnergyCons!$C$4:$C$10000)*1,ISNUMBER(SEARCH("tfl*ice*nga*",[1]OUT_TransportEnergyCons!$A$4:$A$10000))*1,[1]OUT_TransportEnergyCons!H$4:H$10000))*1000</f>
        <v>1.14654044437084E-3</v>
      </c>
      <c r="K2006" s="1" cm="1">
        <f t="array" ref="K2006">(SUMPRODUCT(("Var_Cap"=[1]OUT_TransportEnergyCons!$B$4:$B$10000)*1,("-"=[1]OUT_TransportEnergyCons!$C$4:$C$10000)*1,ISNUMBER(SEARCH("tfl*ice*nga*",[1]OUT_TransportEnergyCons!$A$4:$A$10000))*1,[1]OUT_TransportEnergyCons!I$4:I$10000))*1000</f>
        <v>0</v>
      </c>
    </row>
    <row r="2007" spans="2:11" x14ac:dyDescent="0.35">
      <c r="B2007" s="5" t="str">
        <f t="shared" si="1250"/>
        <v>SPS2</v>
      </c>
      <c r="C2007" s="5" t="str">
        <f>C2006</f>
        <v>CH</v>
      </c>
      <c r="D2007" s="2" t="s">
        <v>2134</v>
      </c>
      <c r="E2007" s="2" t="s">
        <v>2000</v>
      </c>
      <c r="F2007" s="3">
        <f>SUM(F2008:F2016)</f>
        <v>41.476183403726708</v>
      </c>
      <c r="G2007" s="3">
        <f t="shared" ref="G2007" si="1259">SUM(G2008:G2016)</f>
        <v>43.007410178756032</v>
      </c>
      <c r="H2007" s="3">
        <f t="shared" ref="H2007" si="1260">SUM(H2008:H2016)</f>
        <v>43.415194963164112</v>
      </c>
      <c r="I2007" s="3">
        <f t="shared" ref="I2007" si="1261">SUM(I2008:I2016)</f>
        <v>45.178208090147898</v>
      </c>
      <c r="J2007" s="3">
        <f t="shared" ref="J2007" si="1262">SUM(J2008:J2016)</f>
        <v>49.203088985726936</v>
      </c>
      <c r="K2007" s="3">
        <f t="shared" ref="K2007" si="1263">SUM(K2008:K2016)</f>
        <v>53.188768662456724</v>
      </c>
    </row>
    <row r="2008" spans="2:11" x14ac:dyDescent="0.35">
      <c r="B2008" s="5" t="str">
        <f t="shared" si="1250"/>
        <v>SPS2</v>
      </c>
      <c r="C2008" s="5" t="str">
        <f t="shared" ref="C2008:C2016" si="1264">C2007</f>
        <v>CH</v>
      </c>
      <c r="D2008" t="s">
        <v>2135</v>
      </c>
      <c r="E2008" t="s">
        <v>2000</v>
      </c>
      <c r="F2008" s="1" cm="1">
        <f t="array" ref="F2008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08" s="1" cm="1">
        <f t="array" ref="G2008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08" s="1" cm="1">
        <f t="array" ref="H2008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08" s="1" cm="1">
        <f t="array" ref="I2008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08" s="1" cm="1">
        <f t="array" ref="J2008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(SUMPRODUCT(("Var_Cap"=[1]OUT_TransportEnergyCons!$B$4:$B$10000)*1,("-"=[1]OUT_TransportEnergyCons!$C$4:$C$10000)*1,ISNUMBER(SEARCH("tfh*bev*ext",[1]OUT_TransportEnergyCons!$A$4:$A$10000))*1,[1]OUT_TransportEnergyCons!I$4:I$10000))*1000</f>
        <v>0</v>
      </c>
    </row>
    <row r="2009" spans="2:11" x14ac:dyDescent="0.35">
      <c r="B2009" s="5" t="str">
        <f t="shared" si="1250"/>
        <v>SPS2</v>
      </c>
      <c r="C2009" s="5" t="str">
        <f t="shared" si="1264"/>
        <v>CH</v>
      </c>
      <c r="D2009" t="s">
        <v>2136</v>
      </c>
      <c r="E2009" t="s">
        <v>2000</v>
      </c>
      <c r="F2009" s="1" cm="1">
        <f t="array" ref="F2009">(SUMPRODUCT(("Var_Cap"=[1]OUT_TransportEnergyCons!$B$4:$B$10000)*1,("-"=[1]OUT_TransportEnergyCons!$C$4:$C$10000)*1,ISNUMBER(SEARCH("tfh*bev*",[1]OUT_TransportEnergyCons!$A$4:$A$10000))*1,[1]OUT_TransportEnergyCons!D$4:D$10000))*1000-F2008</f>
        <v>5.1935473473694482E-2</v>
      </c>
      <c r="G2009" s="1" cm="1">
        <f t="array" ref="G2009">(SUMPRODUCT(("Var_Cap"=[1]OUT_TransportEnergyCons!$B$4:$B$10000)*1,("-"=[1]OUT_TransportEnergyCons!$C$4:$C$10000)*1,ISNUMBER(SEARCH("tfh*bev*",[1]OUT_TransportEnergyCons!$A$4:$A$10000))*1,[1]OUT_TransportEnergyCons!E$4:E$10000))*1000-G2008</f>
        <v>0.12870875995684142</v>
      </c>
      <c r="H2009" s="1" cm="1">
        <f t="array" ref="H2009">(SUMPRODUCT(("Var_Cap"=[1]OUT_TransportEnergyCons!$B$4:$B$10000)*1,("-"=[1]OUT_TransportEnergyCons!$C$4:$C$10000)*1,ISNUMBER(SEARCH("tfh*bev*",[1]OUT_TransportEnergyCons!$A$4:$A$10000))*1,[1]OUT_TransportEnergyCons!F$4:F$10000))*1000-H2008</f>
        <v>0.15199913145299371</v>
      </c>
      <c r="I2009" s="1" cm="1">
        <f t="array" ref="I2009">(SUMPRODUCT(("Var_Cap"=[1]OUT_TransportEnergyCons!$B$4:$B$10000)*1,("-"=[1]OUT_TransportEnergyCons!$C$4:$C$10000)*1,ISNUMBER(SEARCH("tfh*bev*",[1]OUT_TransportEnergyCons!$A$4:$A$10000))*1,[1]OUT_TransportEnergyCons!G$4:G$10000))*1000-I2008</f>
        <v>26.443435937446694</v>
      </c>
      <c r="J2009" s="1" cm="1">
        <f t="array" ref="J2009">(SUMPRODUCT(("Var_Cap"=[1]OUT_TransportEnergyCons!$B$4:$B$10000)*1,("-"=[1]OUT_TransportEnergyCons!$C$4:$C$10000)*1,ISNUMBER(SEARCH("tfh*bev*",[1]OUT_TransportEnergyCons!$A$4:$A$10000))*1,[1]OUT_TransportEnergyCons!H$4:H$10000))*1000-J2008</f>
        <v>38.337290365059694</v>
      </c>
      <c r="K2009" s="1" cm="1">
        <f t="array" ref="K2009">(SUMPRODUCT(("Var_Cap"=[1]OUT_TransportEnergyCons!$B$4:$B$10000)*1,("-"=[1]OUT_TransportEnergyCons!$C$4:$C$10000)*1,ISNUMBER(SEARCH("tfh*bev*",[1]OUT_TransportEnergyCons!$A$4:$A$10000))*1,[1]OUT_TransportEnergyCons!I$4:I$10000))*1000-K2008</f>
        <v>53.181118596123497</v>
      </c>
    </row>
    <row r="2010" spans="2:11" x14ac:dyDescent="0.35">
      <c r="B2010" s="5" t="str">
        <f t="shared" si="1250"/>
        <v>SPS2</v>
      </c>
      <c r="C2010" s="5" t="str">
        <f t="shared" si="1264"/>
        <v>CH</v>
      </c>
      <c r="D2010" t="s">
        <v>2137</v>
      </c>
      <c r="E2010" t="s">
        <v>2000</v>
      </c>
      <c r="F2010" s="1" cm="1">
        <f t="array" ref="F2010">(SUMPRODUCT(("Var_Cap"=[1]OUT_TransportEnergyCons!$B$4:$B$10000)*1,("-"=[1]OUT_TransportEnergyCons!$C$4:$C$10000)*1,ISNUMBER(SEARCH("tfh*h2o*",[1]OUT_TransportEnergyCons!$A$4:$A$10000))*1,[1]OUT_TransportEnergyCons!D$4:D$10000))*1000</f>
        <v>1.2181877337425919E-2</v>
      </c>
      <c r="G2010" s="1" cm="1">
        <f t="array" ref="G2010">(SUMPRODUCT(("Var_Cap"=[1]OUT_TransportEnergyCons!$B$4:$B$10000)*1,("-"=[1]OUT_TransportEnergyCons!$C$4:$C$10000)*1,ISNUMBER(SEARCH("tfh*h2o*",[1]OUT_TransportEnergyCons!$A$4:$A$10000))*1,[1]OUT_TransportEnergyCons!E$4:E$10000))*1000</f>
        <v>9.2117370793859139E-3</v>
      </c>
      <c r="H2010" s="1" cm="1">
        <f t="array" ref="H2010">(SUMPRODUCT(("Var_Cap"=[1]OUT_TransportEnergyCons!$B$4:$B$10000)*1,("-"=[1]OUT_TransportEnergyCons!$C$4:$C$10000)*1,ISNUMBER(SEARCH("tfh*h2o*",[1]OUT_TransportEnergyCons!$A$4:$A$10000))*1,[1]OUT_TransportEnergyCons!F$4:F$10000))*1000</f>
        <v>9.9150031445256314E-3</v>
      </c>
      <c r="I2010" s="1" cm="1">
        <f t="array" ref="I2010">(SUMPRODUCT(("Var_Cap"=[1]OUT_TransportEnergyCons!$B$4:$B$10000)*1,("-"=[1]OUT_TransportEnergyCons!$C$4:$C$10000)*1,ISNUMBER(SEARCH("tfh*h2o*",[1]OUT_TransportEnergyCons!$A$4:$A$10000))*1,[1]OUT_TransportEnergyCons!G$4:G$10000))*1000</f>
        <v>3.5540859049517891E-3</v>
      </c>
      <c r="J2010" s="1" cm="1">
        <f t="array" ref="J2010">(SUMPRODUCT(("Var_Cap"=[1]OUT_TransportEnergyCons!$B$4:$B$10000)*1,("-"=[1]OUT_TransportEnergyCons!$C$4:$C$10000)*1,ISNUMBER(SEARCH("tfh*h2o*",[1]OUT_TransportEnergyCons!$A$4:$A$10000))*1,[1]OUT_TransportEnergyCons!H$4:H$10000))*1000</f>
        <v>3.433512759123937E-3</v>
      </c>
      <c r="K2010" s="1" cm="1">
        <f t="array" ref="K2010">(SUMPRODUCT(("Var_Cap"=[1]OUT_TransportEnergyCons!$B$4:$B$10000)*1,("-"=[1]OUT_TransportEnergyCons!$C$4:$C$10000)*1,ISNUMBER(SEARCH("tfh*h2o*",[1]OUT_TransportEnergyCons!$A$4:$A$10000))*1,[1]OUT_TransportEnergyCons!I$4:I$10000))*1000</f>
        <v>3.3573056551824102E-3</v>
      </c>
    </row>
    <row r="2011" spans="2:11" x14ac:dyDescent="0.35">
      <c r="B2011" s="5" t="str">
        <f t="shared" si="1250"/>
        <v>SPS2</v>
      </c>
      <c r="C2011" s="5" t="str">
        <f t="shared" si="1264"/>
        <v>CH</v>
      </c>
      <c r="D2011" t="s">
        <v>2138</v>
      </c>
      <c r="E2011" t="s">
        <v>2000</v>
      </c>
      <c r="F2011" s="1" cm="1">
        <f t="array" ref="F2011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1" s="1" cm="1">
        <f t="array" ref="G2011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1" s="1" cm="1">
        <f t="array" ref="H2011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1" s="1" cm="1">
        <f t="array" ref="I2011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1" s="1" cm="1">
        <f t="array" ref="J2011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1" s="1" cm="1">
        <f t="array" ref="K2011">(SUMPRODUCT(("Var_Cap"=[1]OUT_TransportEnergyCons!$B$4:$B$10000)*1,("-"=[1]OUT_TransportEnergyCons!$C$4:$C$10000)*1,ISNUMBER(SEARCH("tfh*ICE*GSL*ext",[1]OUT_TransportEnergyCons!$A$4:$A$10000))*1,[1]OUT_TransportEnergyCons!I$4:I$10000))*1000</f>
        <v>0</v>
      </c>
    </row>
    <row r="2012" spans="2:11" x14ac:dyDescent="0.35">
      <c r="B2012" s="5" t="str">
        <f t="shared" si="1250"/>
        <v>SPS2</v>
      </c>
      <c r="C2012" s="5" t="str">
        <f t="shared" si="1264"/>
        <v>CH</v>
      </c>
      <c r="D2012" t="s">
        <v>2139</v>
      </c>
      <c r="E2012" t="s">
        <v>2000</v>
      </c>
      <c r="F2012" s="1" cm="1">
        <f t="array" ref="F2012">(SUMPRODUCT(("Var_Cap"=[1]OUT_TransportEnergyCons!$B$4:$B$10000)*1,("-"=[1]OUT_TransportEnergyCons!$C$4:$C$10000)*1,ISNUMBER(SEARCH("tfh*ICE*GSL*",[1]OUT_TransportEnergyCons!$A$4:$A$10000))*1,[1]OUT_TransportEnergyCons!D$4:D$10000))*1000-F2011</f>
        <v>0</v>
      </c>
      <c r="G2012" s="1" cm="1">
        <f t="array" ref="G2012">(SUMPRODUCT(("Var_Cap"=[1]OUT_TransportEnergyCons!$B$4:$B$10000)*1,("-"=[1]OUT_TransportEnergyCons!$C$4:$C$10000)*1,ISNUMBER(SEARCH("tfh*ICE*GSL*",[1]OUT_TransportEnergyCons!$A$4:$A$10000))*1,[1]OUT_TransportEnergyCons!E$4:E$10000))*1000-G2011</f>
        <v>0</v>
      </c>
      <c r="H2012" s="1" cm="1">
        <f t="array" ref="H2012">(SUMPRODUCT(("Var_Cap"=[1]OUT_TransportEnergyCons!$B$4:$B$10000)*1,("-"=[1]OUT_TransportEnergyCons!$C$4:$C$10000)*1,ISNUMBER(SEARCH("tfh*ICE*GSL*",[1]OUT_TransportEnergyCons!$A$4:$A$10000))*1,[1]OUT_TransportEnergyCons!F$4:F$10000))*1000-H2011</f>
        <v>0</v>
      </c>
      <c r="I2012" s="1" cm="1">
        <f t="array" ref="I2012">(SUMPRODUCT(("Var_Cap"=[1]OUT_TransportEnergyCons!$B$4:$B$10000)*1,("-"=[1]OUT_TransportEnergyCons!$C$4:$C$10000)*1,ISNUMBER(SEARCH("tfh*ICE*GSL*",[1]OUT_TransportEnergyCons!$A$4:$A$10000))*1,[1]OUT_TransportEnergyCons!G$4:G$10000))*1000-I2011</f>
        <v>0</v>
      </c>
      <c r="J2012" s="1" cm="1">
        <f t="array" ref="J2012">(SUMPRODUCT(("Var_Cap"=[1]OUT_TransportEnergyCons!$B$4:$B$10000)*1,("-"=[1]OUT_TransportEnergyCons!$C$4:$C$10000)*1,ISNUMBER(SEARCH("tfh*ICE*GSL*",[1]OUT_TransportEnergyCons!$A$4:$A$10000))*1,[1]OUT_TransportEnergyCons!H$4:H$10000))*1000-J2011</f>
        <v>0</v>
      </c>
      <c r="K2012" s="1" cm="1">
        <f t="array" ref="K2012">(SUMPRODUCT(("Var_Cap"=[1]OUT_TransportEnergyCons!$B$4:$B$10000)*1,("-"=[1]OUT_TransportEnergyCons!$C$4:$C$10000)*1,ISNUMBER(SEARCH("tfh*ICE*GSL*",[1]OUT_TransportEnergyCons!$A$4:$A$10000))*1,[1]OUT_TransportEnergyCons!I$4:I$10000))*1000-K2011</f>
        <v>0</v>
      </c>
    </row>
    <row r="2013" spans="2:11" x14ac:dyDescent="0.35">
      <c r="B2013" s="5" t="str">
        <f t="shared" si="1250"/>
        <v>SPS2</v>
      </c>
      <c r="C2013" s="5" t="str">
        <f t="shared" si="1264"/>
        <v>CH</v>
      </c>
      <c r="D2013" t="s">
        <v>2140</v>
      </c>
      <c r="E2013" t="s">
        <v>2000</v>
      </c>
      <c r="F2013" s="1" cm="1">
        <f t="array" ref="F2013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3" s="1" cm="1">
        <f t="array" ref="G2013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3" s="1" cm="1">
        <f t="array" ref="H2013">(SUMPRODUCT(("Var_Cap"=[1]OUT_TransportEnergyCons!$B$4:$B$10000)*1,("-"=[1]OUT_TransportEnergyCons!$C$4:$C$10000)*1,ISNUMBER(SEARCH("tfh*ICE*DSL*ext",[1]OUT_TransportEnergyCons!$A$4:$A$10000))*1,[1]OUT_TransportEnergyCons!F$4:F$10000))*1000</f>
        <v>19.774656406834485</v>
      </c>
      <c r="I2013" s="1" cm="1">
        <f t="array" ref="I2013">(SUMPRODUCT(("Var_Cap"=[1]OUT_TransportEnergyCons!$B$4:$B$10000)*1,("-"=[1]OUT_TransportEnergyCons!$C$4:$C$10000)*1,ISNUMBER(SEARCH("tfh*ICE*DSL*ext",[1]OUT_TransportEnergyCons!$A$4:$A$10000))*1,[1]OUT_TransportEnergyCons!G$4:G$10000))*1000</f>
        <v>9.8871695824820733</v>
      </c>
      <c r="J2013" s="1" cm="1">
        <f t="array" ref="J2013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(SUMPRODUCT(("Var_Cap"=[1]OUT_TransportEnergyCons!$B$4:$B$10000)*1,("-"=[1]OUT_TransportEnergyCons!$C$4:$C$10000)*1,ISNUMBER(SEARCH("tfh*ICE*DSL*ext",[1]OUT_TransportEnergyCons!$A$4:$A$10000))*1,[1]OUT_TransportEnergyCons!I$4:I$10000))*1000</f>
        <v>0</v>
      </c>
    </row>
    <row r="2014" spans="2:11" x14ac:dyDescent="0.35">
      <c r="B2014" s="5" t="str">
        <f t="shared" si="1250"/>
        <v>SPS2</v>
      </c>
      <c r="C2014" s="5" t="str">
        <f t="shared" si="1264"/>
        <v>CH</v>
      </c>
      <c r="D2014" t="s">
        <v>2141</v>
      </c>
      <c r="E2014" t="s">
        <v>2000</v>
      </c>
      <c r="F2014" s="1" cm="1">
        <f t="array" ref="F2014">(SUMPRODUCT(("Var_Cap"=[1]OUT_TransportEnergyCons!$B$4:$B$10000)*1,("-"=[1]OUT_TransportEnergyCons!$C$4:$C$10000)*1,ISNUMBER(SEARCH("tfh*ICE*DSL*",[1]OUT_TransportEnergyCons!$A$4:$A$10000))*1,[1]OUT_TransportEnergyCons!D$4:D$10000))*1000-F2013</f>
        <v>11.628785156198003</v>
      </c>
      <c r="G2014" s="1" cm="1">
        <f t="array" ref="G2014">(SUMPRODUCT(("Var_Cap"=[1]OUT_TransportEnergyCons!$B$4:$B$10000)*1,("-"=[1]OUT_TransportEnergyCons!$C$4:$C$10000)*1,ISNUMBER(SEARCH("tfh*ICE*DSL*",[1]OUT_TransportEnergyCons!$A$4:$A$10000))*1,[1]OUT_TransportEnergyCons!E$4:E$10000))*1000-G2013</f>
        <v>13.631208417095248</v>
      </c>
      <c r="H2014" s="1" cm="1">
        <f t="array" ref="H2014">(SUMPRODUCT(("Var_Cap"=[1]OUT_TransportEnergyCons!$B$4:$B$10000)*1,("-"=[1]OUT_TransportEnergyCons!$C$4:$C$10000)*1,ISNUMBER(SEARCH("tfh*ICE*DSL*",[1]OUT_TransportEnergyCons!$A$4:$A$10000))*1,[1]OUT_TransportEnergyCons!F$4:F$10000))*1000-H2013</f>
        <v>10.694269225579266</v>
      </c>
      <c r="I2014" s="1" cm="1">
        <f t="array" ref="I2014">(SUMPRODUCT(("Var_Cap"=[1]OUT_TransportEnergyCons!$B$4:$B$10000)*1,("-"=[1]OUT_TransportEnergyCons!$C$4:$C$10000)*1,ISNUMBER(SEARCH("tfh*ICE*DSL*",[1]OUT_TransportEnergyCons!$A$4:$A$10000))*1,[1]OUT_TransportEnergyCons!G$4:G$10000))*1000-I2013</f>
        <v>0.98685521083408823</v>
      </c>
      <c r="J2014" s="1" cm="1">
        <f t="array" ref="J2014">(SUMPRODUCT(("Var_Cap"=[1]OUT_TransportEnergyCons!$B$4:$B$10000)*1,("-"=[1]OUT_TransportEnergyCons!$C$4:$C$10000)*1,ISNUMBER(SEARCH("tfh*ICE*DSL*",[1]OUT_TransportEnergyCons!$A$4:$A$10000))*1,[1]OUT_TransportEnergyCons!H$4:H$10000))*1000-J2013</f>
        <v>6.3015793462447098E-3</v>
      </c>
      <c r="K2014" s="1" cm="1">
        <f t="array" ref="K2014">(SUMPRODUCT(("Var_Cap"=[1]OUT_TransportEnergyCons!$B$4:$B$10000)*1,("-"=[1]OUT_TransportEnergyCons!$C$4:$C$10000)*1,ISNUMBER(SEARCH("tfh*ICE*DSL*",[1]OUT_TransportEnergyCons!$A$4:$A$10000))*1,[1]OUT_TransportEnergyCons!I$4:I$10000))*1000-K2013</f>
        <v>4.9333873406414504E-4</v>
      </c>
    </row>
    <row r="2015" spans="2:11" x14ac:dyDescent="0.35">
      <c r="B2015" s="5" t="str">
        <f t="shared" si="1250"/>
        <v>SPS2</v>
      </c>
      <c r="C2015" s="5" t="str">
        <f t="shared" si="1264"/>
        <v>CH</v>
      </c>
      <c r="D2015" t="s">
        <v>2142</v>
      </c>
      <c r="E2015" t="s">
        <v>2000</v>
      </c>
      <c r="F2015" s="1" cm="1">
        <f t="array" ref="F2015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15" s="1" cm="1">
        <f t="array" ref="G2015">(SUMPRODUCT(("Var_Cap"=[1]OUT_TransportEnergyCons!$B$4:$B$10000)*1,("-"=[1]OUT_TransportEnergyCons!$C$4:$C$10000)*1,ISNUMBER(SEARCH("tfh*hyb*DSL*",[1]OUT_TransportEnergyCons!$A$4:$A$10000))*1,[1]OUT_TransportEnergyCons!E$4:E$10000))*1000</f>
        <v>3.4821363773354199</v>
      </c>
      <c r="H2015" s="1" cm="1">
        <f t="array" ref="H2015">(SUMPRODUCT(("Var_Cap"=[1]OUT_TransportEnergyCons!$B$4:$B$10000)*1,("-"=[1]OUT_TransportEnergyCons!$C$4:$C$10000)*1,ISNUMBER(SEARCH("tfh*hyb*DSL*",[1]OUT_TransportEnergyCons!$A$4:$A$10000))*1,[1]OUT_TransportEnergyCons!F$4:F$10000))*1000</f>
        <v>12.735240270440601</v>
      </c>
      <c r="I2015" s="1" cm="1">
        <f t="array" ref="I2015">(SUMPRODUCT(("Var_Cap"=[1]OUT_TransportEnergyCons!$B$4:$B$10000)*1,("-"=[1]OUT_TransportEnergyCons!$C$4:$C$10000)*1,ISNUMBER(SEARCH("tfh*hyb*DSL*",[1]OUT_TransportEnergyCons!$A$4:$A$10000))*1,[1]OUT_TransportEnergyCons!G$4:G$10000))*1000</f>
        <v>7.8343537030432904</v>
      </c>
      <c r="J2015" s="1" cm="1">
        <f t="array" ref="J2015">(SUMPRODUCT(("Var_Cap"=[1]OUT_TransportEnergyCons!$B$4:$B$10000)*1,("-"=[1]OUT_TransportEnergyCons!$C$4:$C$10000)*1,ISNUMBER(SEARCH("tfh*hyb*DSL*",[1]OUT_TransportEnergyCons!$A$4:$A$10000))*1,[1]OUT_TransportEnergyCons!H$4:H$10000))*1000</f>
        <v>10.8332013041635</v>
      </c>
      <c r="K2015" s="1" cm="1">
        <f t="array" ref="K2015">(SUMPRODUCT(("Var_Cap"=[1]OUT_TransportEnergyCons!$B$4:$B$10000)*1,("-"=[1]OUT_TransportEnergyCons!$C$4:$C$10000)*1,ISNUMBER(SEARCH("tfh*hyb*DSL*",[1]OUT_TransportEnergyCons!$A$4:$A$10000))*1,[1]OUT_TransportEnergyCons!I$4:I$10000))*1000</f>
        <v>1.9528301098367107E-3</v>
      </c>
    </row>
    <row r="2016" spans="2:11" x14ac:dyDescent="0.35">
      <c r="B2016" s="5" t="str">
        <f t="shared" si="1250"/>
        <v>SPS2</v>
      </c>
      <c r="C2016" s="5" t="str">
        <f t="shared" si="1264"/>
        <v>CH</v>
      </c>
      <c r="D2016" t="s">
        <v>2143</v>
      </c>
      <c r="E2016" t="s">
        <v>2000</v>
      </c>
      <c r="F2016" s="1" cm="1">
        <f t="array" ref="F2016">(SUMPRODUCT(("Var_Cap"=[1]OUT_TransportEnergyCons!$B$4:$B$10000)*1,("-"=[1]OUT_TransportEnergyCons!$C$4:$C$10000)*1,ISNUMBER(SEARCH("tfh*ice*nga*",[1]OUT_TransportEnergyCons!$A$4:$A$10000))*1,[1]OUT_TransportEnergyCons!D$4:D$10000))*1000</f>
        <v>0.12128089671758013</v>
      </c>
      <c r="G2016" s="1" cm="1">
        <f t="array" ref="G2016">(SUMPRODUCT(("Var_Cap"=[1]OUT_TransportEnergyCons!$B$4:$B$10000)*1,("-"=[1]OUT_TransportEnergyCons!$C$4:$C$10000)*1,ISNUMBER(SEARCH("tfh*ice*nga*",[1]OUT_TransportEnergyCons!$A$4:$A$10000))*1,[1]OUT_TransportEnergyCons!E$4:E$10000))*1000</f>
        <v>4.9078220622433548E-2</v>
      </c>
      <c r="H2016" s="1" cm="1">
        <f t="array" ref="H2016">(SUMPRODUCT(("Var_Cap"=[1]OUT_TransportEnergyCons!$B$4:$B$10000)*1,("-"=[1]OUT_TransportEnergyCons!$C$4:$C$10000)*1,ISNUMBER(SEARCH("tfh*ice*nga*",[1]OUT_TransportEnergyCons!$A$4:$A$10000))*1,[1]OUT_TransportEnergyCons!F$4:F$10000))*1000</f>
        <v>4.9114925712237578E-2</v>
      </c>
      <c r="I2016" s="1" cm="1">
        <f t="array" ref="I2016">(SUMPRODUCT(("Var_Cap"=[1]OUT_TransportEnergyCons!$B$4:$B$10000)*1,("-"=[1]OUT_TransportEnergyCons!$C$4:$C$10000)*1,ISNUMBER(SEARCH("tfh*ice*nga*",[1]OUT_TransportEnergyCons!$A$4:$A$10000))*1,[1]OUT_TransportEnergyCons!G$4:G$10000))*1000</f>
        <v>2.2839570436798864E-2</v>
      </c>
      <c r="J2016" s="1" cm="1">
        <f t="array" ref="J2016">(SUMPRODUCT(("Var_Cap"=[1]OUT_TransportEnergyCons!$B$4:$B$10000)*1,("-"=[1]OUT_TransportEnergyCons!$C$4:$C$10000)*1,ISNUMBER(SEARCH("tfh*ice*nga*",[1]OUT_TransportEnergyCons!$A$4:$A$10000))*1,[1]OUT_TransportEnergyCons!H$4:H$10000))*1000</f>
        <v>2.2862224398371031E-2</v>
      </c>
      <c r="K2016" s="1" cm="1">
        <f t="array" ref="K2016">(SUMPRODUCT(("Var_Cap"=[1]OUT_TransportEnergyCons!$B$4:$B$10000)*1,("-"=[1]OUT_TransportEnergyCons!$C$4:$C$10000)*1,ISNUMBER(SEARCH("tfh*ice*nga*",[1]OUT_TransportEnergyCons!$A$4:$A$10000))*1,[1]OUT_TransportEnergyCons!I$4:I$10000))*1000</f>
        <v>1.8465918341347002E-3</v>
      </c>
    </row>
    <row r="2017" spans="2:11" x14ac:dyDescent="0.35">
      <c r="B2017" s="5" t="str">
        <f t="shared" si="1250"/>
        <v>SPS2</v>
      </c>
      <c r="C2017" s="5" t="str">
        <f>C2016</f>
        <v>CH</v>
      </c>
      <c r="D2017" s="2" t="s">
        <v>2144</v>
      </c>
      <c r="E2017" s="2" t="s">
        <v>2155</v>
      </c>
      <c r="F2017" s="3">
        <f t="shared" ref="F2017" si="1265">SUM(F2018,F2022,F2025)</f>
        <v>5.2409005827806397E-4</v>
      </c>
      <c r="G2017" s="3">
        <f t="shared" ref="G2017" si="1266">SUM(G2018,G2022,G2025)</f>
        <v>5.3244388866133274E-4</v>
      </c>
      <c r="H2017" s="3">
        <f t="shared" ref="H2017" si="1267">SUM(H2018,H2022,H2025)</f>
        <v>5.3739009109375559E-4</v>
      </c>
      <c r="I2017" s="3">
        <f t="shared" ref="I2017" si="1268">SUM(I2018,I2022,I2025)</f>
        <v>4.1668679513351134E-3</v>
      </c>
      <c r="J2017" s="3">
        <f t="shared" ref="J2017" si="1269">SUM(J2018,J2022,J2025)</f>
        <v>4.0135357855813183</v>
      </c>
      <c r="K2017" s="3">
        <f t="shared" ref="K2017" si="1270">SUM(K2018,K2022,K2025)</f>
        <v>8.0030870468349864</v>
      </c>
    </row>
    <row r="2018" spans="2:11" x14ac:dyDescent="0.35">
      <c r="B2018" s="5" t="str">
        <f t="shared" si="1250"/>
        <v>SPS2</v>
      </c>
      <c r="C2018" s="5" t="str">
        <f t="shared" ref="C2018:C2027" si="1271">C2017</f>
        <v>CH</v>
      </c>
      <c r="D2018" t="s">
        <v>2145</v>
      </c>
      <c r="E2018" t="s">
        <v>2155</v>
      </c>
      <c r="F2018" s="1" cm="1">
        <f t="array" ref="F2018">SUMPRODUCT(ISNUMBER(SEARCH("SUP_ELCH2*",[1]OUT_SyntheticFuels!$C$4:$C$1000))*1,("Var_cap"=[1]OUT_SyntheticFuels!$B$4:$B$1000)*1,[1]OUT_SyntheticFuels!E$4:E$1000)</f>
        <v>5.2409005827806397E-4</v>
      </c>
      <c r="G2018" s="1" cm="1">
        <f t="array" ref="G2018">SUMPRODUCT(ISNUMBER(SEARCH("SUP_ELCH2*",[1]OUT_SyntheticFuels!$C$4:$C$1000))*1,("Var_cap"=[1]OUT_SyntheticFuels!$B$4:$B$1000)*1,[1]OUT_SyntheticFuels!F$4:F$1000)</f>
        <v>5.3244388866133274E-4</v>
      </c>
      <c r="H2018" s="1" cm="1">
        <f t="array" ref="H2018">SUMPRODUCT(ISNUMBER(SEARCH("SUP_ELCH2*",[1]OUT_SyntheticFuels!$C$4:$C$1000))*1,("Var_cap"=[1]OUT_SyntheticFuels!$B$4:$B$1000)*1,[1]OUT_SyntheticFuels!G$4:G$1000)</f>
        <v>5.3739009109375559E-4</v>
      </c>
      <c r="I2018" s="1" cm="1">
        <f t="array" ref="I2018">SUMPRODUCT(ISNUMBER(SEARCH("SUP_ELCH2*",[1]OUT_SyntheticFuels!$C$4:$C$1000))*1,("Var_cap"=[1]OUT_SyntheticFuels!$B$4:$B$1000)*1,[1]OUT_SyntheticFuels!H$4:H$1000)</f>
        <v>4.0753508580998144E-3</v>
      </c>
      <c r="J2018" s="1" cm="1">
        <f t="array" ref="J2018">SUMPRODUCT(ISNUMBER(SEARCH("SUP_ELCH2*",[1]OUT_SyntheticFuels!$C$4:$C$1000))*1,("Var_cap"=[1]OUT_SyntheticFuels!$B$4:$B$1000)*1,[1]OUT_SyntheticFuels!I$4:I$1000)</f>
        <v>3.7131836017115507</v>
      </c>
      <c r="K2018" s="1" cm="1">
        <f t="array" ref="K2018">SUMPRODUCT(ISNUMBER(SEARCH("SUP_ELCH2*",[1]OUT_SyntheticFuels!$C$4:$C$1000))*1,("Var_cap"=[1]OUT_SyntheticFuels!$B$4:$B$1000)*1,[1]OUT_SyntheticFuels!J$4:J$1000)</f>
        <v>7.3288790482873702</v>
      </c>
    </row>
    <row r="2019" spans="2:11" x14ac:dyDescent="0.35">
      <c r="B2019" s="5" t="str">
        <f t="shared" si="1250"/>
        <v>SPS2</v>
      </c>
      <c r="C2019" s="5" t="str">
        <f t="shared" si="1271"/>
        <v>CH</v>
      </c>
      <c r="D2019" t="s">
        <v>2146</v>
      </c>
      <c r="E2019" t="s">
        <v>2155</v>
      </c>
      <c r="F2019" s="1">
        <f t="shared" ref="F2019" si="1272">F2018-F2020-F2021</f>
        <v>5.2409005827806397E-4</v>
      </c>
      <c r="G2019" s="1">
        <f t="shared" ref="G2019" si="1273">G2018-G2020-G2021</f>
        <v>5.3244388866133274E-4</v>
      </c>
      <c r="H2019" s="1">
        <f t="shared" ref="H2019" si="1274">H2018-H2020-H2021</f>
        <v>5.3739009109375559E-4</v>
      </c>
      <c r="I2019" s="1">
        <f t="shared" ref="I2019" si="1275">I2018-I2020-I2021</f>
        <v>5.4180919182614425E-4</v>
      </c>
      <c r="J2019" s="1">
        <f t="shared" ref="J2019" si="1276">J2018-J2020-J2021</f>
        <v>2.0127102058071302</v>
      </c>
      <c r="K2019" s="1">
        <f t="shared" ref="K2019" si="1277">K2018-K2020-K2021</f>
        <v>3.3767081915753181</v>
      </c>
    </row>
    <row r="2020" spans="2:11" x14ac:dyDescent="0.35">
      <c r="B2020" s="5" t="str">
        <f t="shared" si="1250"/>
        <v>SPS2</v>
      </c>
      <c r="C2020" s="5" t="str">
        <f t="shared" si="1271"/>
        <v>CH</v>
      </c>
      <c r="D2020" t="s">
        <v>2147</v>
      </c>
      <c r="E2020" t="s">
        <v>2155</v>
      </c>
      <c r="F2020" s="1" cm="1">
        <f t="array" ref="F2020">SUMPRODUCT(ISNUMBER(SEARCH("SUP_ELCH2*D",[1]OUT_SyntheticFuels!$C$4:$C$1000))*1,("Var_cap"=[1]OUT_SyntheticFuels!$B$4:$B$1000)*1,[1]OUT_SyntheticFuels!E$4:E$1000)</f>
        <v>0</v>
      </c>
      <c r="G2020" s="1" cm="1">
        <f t="array" ref="G2020">SUMPRODUCT(ISNUMBER(SEARCH("SUP_ELCH2*D",[1]OUT_SyntheticFuels!$C$4:$C$1000))*1,("Var_cap"=[1]OUT_SyntheticFuels!$B$4:$B$1000)*1,[1]OUT_SyntheticFuels!F$4:F$1000)</f>
        <v>0</v>
      </c>
      <c r="H2020" s="1" cm="1">
        <f t="array" ref="H2020">SUMPRODUCT(ISNUMBER(SEARCH("SUP_ELCH2*D",[1]OUT_SyntheticFuels!$C$4:$C$1000))*1,("Var_cap"=[1]OUT_SyntheticFuels!$B$4:$B$1000)*1,[1]OUT_SyntheticFuels!G$4:G$1000)</f>
        <v>0</v>
      </c>
      <c r="I2020" s="1" cm="1">
        <f t="array" ref="I2020">SUMPRODUCT(ISNUMBER(SEARCH("SUP_ELCH2*D",[1]OUT_SyntheticFuels!$C$4:$C$1000))*1,("Var_cap"=[1]OUT_SyntheticFuels!$B$4:$B$1000)*1,[1]OUT_SyntheticFuels!H$4:H$1000)</f>
        <v>3.5335416662736702E-3</v>
      </c>
      <c r="J2020" s="1" cm="1">
        <f t="array" ref="J2020">SUMPRODUCT(ISNUMBER(SEARCH("SUP_ELCH2*D",[1]OUT_SyntheticFuels!$C$4:$C$1000))*1,("Var_cap"=[1]OUT_SyntheticFuels!$B$4:$B$1000)*1,[1]OUT_SyntheticFuels!I$4:I$1000)</f>
        <v>1.6987659541675999</v>
      </c>
      <c r="K2020" s="1" cm="1">
        <f t="array" ref="K2020">SUMPRODUCT(ISNUMBER(SEARCH("SUP_ELCH2*D",[1]OUT_SyntheticFuels!$C$4:$C$1000))*1,("Var_cap"=[1]OUT_SyntheticFuels!$B$4:$B$1000)*1,[1]OUT_SyntheticFuels!J$4:J$1000)</f>
        <v>3.9459074381734398</v>
      </c>
    </row>
    <row r="2021" spans="2:11" x14ac:dyDescent="0.35">
      <c r="B2021" s="5" t="str">
        <f t="shared" si="1250"/>
        <v>SPS2</v>
      </c>
      <c r="C2021" s="5" t="str">
        <f t="shared" si="1271"/>
        <v>CH</v>
      </c>
      <c r="D2021" t="s">
        <v>2148</v>
      </c>
      <c r="E2021" t="s">
        <v>2155</v>
      </c>
      <c r="F2021" s="1" cm="1">
        <f t="array" ref="F2021">SUMPRODUCT(ISNUMBER(SEARCH("SUP_ELCH2*SOEC*",[1]OUT_SyntheticFuels!$C$4:$C$1000))*1,("Var_cap"=[1]OUT_SyntheticFuels!$B$4:$B$1000)*1,[1]OUT_SyntheticFuels!E$4:E$1000)</f>
        <v>0</v>
      </c>
      <c r="G2021" s="1" cm="1">
        <f t="array" ref="G2021">SUMPRODUCT(ISNUMBER(SEARCH("SUP_ELCH2*SOEC*",[1]OUT_SyntheticFuels!$C$4:$C$1000))*1,("Var_cap"=[1]OUT_SyntheticFuels!$B$4:$B$1000)*1,[1]OUT_SyntheticFuels!F$4:F$1000)</f>
        <v>0</v>
      </c>
      <c r="H2021" s="1" cm="1">
        <f t="array" ref="H2021">SUMPRODUCT(ISNUMBER(SEARCH("SUP_ELCH2*SOEC*",[1]OUT_SyntheticFuels!$C$4:$C$1000))*1,("Var_cap"=[1]OUT_SyntheticFuels!$B$4:$B$1000)*1,[1]OUT_SyntheticFuels!G$4:G$1000)</f>
        <v>0</v>
      </c>
      <c r="I2021" s="1" cm="1">
        <f t="array" ref="I2021">SUMPRODUCT(ISNUMBER(SEARCH("SUP_ELCH2*SOEC*",[1]OUT_SyntheticFuels!$C$4:$C$1000))*1,("Var_cap"=[1]OUT_SyntheticFuels!$B$4:$B$1000)*1,[1]OUT_SyntheticFuels!H$4:H$1000)</f>
        <v>0</v>
      </c>
      <c r="J2021" s="1" cm="1">
        <f t="array" ref="J2021">SUMPRODUCT(ISNUMBER(SEARCH("SUP_ELCH2*SOEC*",[1]OUT_SyntheticFuels!$C$4:$C$1000))*1,("Var_cap"=[1]OUT_SyntheticFuels!$B$4:$B$1000)*1,[1]OUT_SyntheticFuels!I$4:I$1000)</f>
        <v>1.7074417368205001E-3</v>
      </c>
      <c r="K2021" s="1" cm="1">
        <f t="array" ref="K2021">SUMPRODUCT(ISNUMBER(SEARCH("SUP_ELCH2*SOEC*",[1]OUT_SyntheticFuels!$C$4:$C$1000))*1,("Var_cap"=[1]OUT_SyntheticFuels!$B$4:$B$1000)*1,[1]OUT_SyntheticFuels!J$4:J$1000)</f>
        <v>6.2634185386122639E-3</v>
      </c>
    </row>
    <row r="2022" spans="2:11" x14ac:dyDescent="0.35">
      <c r="B2022" s="5" t="str">
        <f t="shared" si="1250"/>
        <v>SPS2</v>
      </c>
      <c r="C2022" s="5" t="str">
        <f t="shared" si="1271"/>
        <v>CH</v>
      </c>
      <c r="D2022" t="s">
        <v>2149</v>
      </c>
      <c r="E2022" t="s">
        <v>2155</v>
      </c>
      <c r="F2022" s="1">
        <f t="shared" ref="F2022" si="1278">SUM(F2023:F2024)</f>
        <v>0</v>
      </c>
      <c r="G2022" s="1">
        <f t="shared" ref="G2022" si="1279">SUM(G2023:G2024)</f>
        <v>0</v>
      </c>
      <c r="H2022" s="1">
        <f t="shared" ref="H2022" si="1280">SUM(H2023:H2024)</f>
        <v>0</v>
      </c>
      <c r="I2022" s="1">
        <f t="shared" ref="I2022" si="1281">SUM(I2023:I2024)</f>
        <v>9.4771470268618702E-7</v>
      </c>
      <c r="J2022" s="1">
        <f t="shared" ref="J2022" si="1282">SUM(J2023:J2024)</f>
        <v>6.1210893035510208E-6</v>
      </c>
      <c r="K2022" s="1">
        <f t="shared" ref="K2022" si="1283">SUM(K2023:K2024)</f>
        <v>2.9682566011012809E-4</v>
      </c>
    </row>
    <row r="2023" spans="2:11" x14ac:dyDescent="0.35">
      <c r="B2023" s="5" t="str">
        <f t="shared" si="1250"/>
        <v>SPS2</v>
      </c>
      <c r="C2023" s="5" t="str">
        <f t="shared" si="1271"/>
        <v>CH</v>
      </c>
      <c r="D2023" t="s">
        <v>2150</v>
      </c>
      <c r="E2023" t="s">
        <v>2155</v>
      </c>
      <c r="F2023" s="1" cm="1">
        <f t="array" ref="F2023">SUMPRODUCT(ISNUMBER(SEARCH("SUP_NGAH2",[1]OUT_SyntheticFuels!$C$4:$C$1000))*1,("Var_cap"=[1]OUT_SyntheticFuels!$B$4:$B$1000)*1,[1]OUT_SyntheticFuels!E$4:E$1000)-F2024</f>
        <v>0</v>
      </c>
      <c r="G2023" s="1" cm="1">
        <f t="array" ref="G2023">SUMPRODUCT(ISNUMBER(SEARCH("SUP_NGAH2",[1]OUT_SyntheticFuels!$C$4:$C$1000))*1,("Var_cap"=[1]OUT_SyntheticFuels!$B$4:$B$1000)*1,[1]OUT_SyntheticFuels!F$4:F$1000)-G2024</f>
        <v>0</v>
      </c>
      <c r="H2023" s="1" cm="1">
        <f t="array" ref="H2023">SUMPRODUCT(ISNUMBER(SEARCH("SUP_NGAH2",[1]OUT_SyntheticFuels!$C$4:$C$1000))*1,("Var_cap"=[1]OUT_SyntheticFuels!$B$4:$B$1000)*1,[1]OUT_SyntheticFuels!G$4:G$1000)-H2024</f>
        <v>0</v>
      </c>
      <c r="I2023" s="1" cm="1">
        <f t="array" ref="I2023">SUMPRODUCT(ISNUMBER(SEARCH("SUP_NGAH2",[1]OUT_SyntheticFuels!$C$4:$C$1000))*1,("Var_cap"=[1]OUT_SyntheticFuels!$B$4:$B$1000)*1,[1]OUT_SyntheticFuels!H$4:H$1000)-I2024</f>
        <v>9.4771470268618702E-7</v>
      </c>
      <c r="J2023" s="1" cm="1">
        <f t="array" ref="J2023">SUMPRODUCT(ISNUMBER(SEARCH("SUP_NGAH2",[1]OUT_SyntheticFuels!$C$4:$C$1000))*1,("Var_cap"=[1]OUT_SyntheticFuels!$B$4:$B$1000)*1,[1]OUT_SyntheticFuels!I$4:I$1000)-J2024</f>
        <v>4.5192716994647009E-6</v>
      </c>
      <c r="K2023" s="1" cm="1">
        <f t="array" ref="K2023">SUMPRODUCT(ISNUMBER(SEARCH("SUP_NGAH2",[1]OUT_SyntheticFuels!$C$4:$C$1000))*1,("Var_cap"=[1]OUT_SyntheticFuels!$B$4:$B$1000)*1,[1]OUT_SyntheticFuels!J$4:J$1000)-K2024</f>
        <v>1.6313301963092152E-4</v>
      </c>
    </row>
    <row r="2024" spans="2:11" x14ac:dyDescent="0.35">
      <c r="B2024" s="5" t="str">
        <f t="shared" si="1250"/>
        <v>SPS2</v>
      </c>
      <c r="C2024" s="5" t="str">
        <f t="shared" si="1271"/>
        <v>CH</v>
      </c>
      <c r="D2024" t="s">
        <v>2151</v>
      </c>
      <c r="E2024" t="s">
        <v>2155</v>
      </c>
      <c r="F2024" s="1" cm="1">
        <f t="array" ref="F2024">SUMPRODUCT(ISNUMBER(SEARCH("SUP_NGAH2CCS",[1]OUT_SyntheticFuels!$C$4:$C$1000))*1,("Var_cap"=[1]OUT_SyntheticFuels!$B$4:$B$1000)*1,[1]OUT_SyntheticFuels!E$4:E$1000)</f>
        <v>0</v>
      </c>
      <c r="G2024" s="1" cm="1">
        <f t="array" ref="G2024">SUMPRODUCT(ISNUMBER(SEARCH("SUP_NGAH2CCS",[1]OUT_SyntheticFuels!$C$4:$C$1000))*1,("Var_cap"=[1]OUT_SyntheticFuels!$B$4:$B$1000)*1,[1]OUT_SyntheticFuels!F$4:F$1000)</f>
        <v>0</v>
      </c>
      <c r="H2024" s="1" cm="1">
        <f t="array" ref="H2024">SUMPRODUCT(ISNUMBER(SEARCH("SUP_NGAH2CCS",[1]OUT_SyntheticFuels!$C$4:$C$1000))*1,("Var_cap"=[1]OUT_SyntheticFuels!$B$4:$B$1000)*1,[1]OUT_SyntheticFuels!G$4:G$1000)</f>
        <v>0</v>
      </c>
      <c r="I2024" s="1" cm="1">
        <f t="array" ref="I2024">SUMPRODUCT(ISNUMBER(SEARCH("SUP_NGAH2CCS",[1]OUT_SyntheticFuels!$C$4:$C$1000))*1,("Var_cap"=[1]OUT_SyntheticFuels!$B$4:$B$1000)*1,[1]OUT_SyntheticFuels!H$4:H$1000)</f>
        <v>0</v>
      </c>
      <c r="J2024" s="1" cm="1">
        <f t="array" ref="J2024">SUMPRODUCT(ISNUMBER(SEARCH("SUP_NGAH2CCS",[1]OUT_SyntheticFuels!$C$4:$C$1000))*1,("Var_cap"=[1]OUT_SyntheticFuels!$B$4:$B$1000)*1,[1]OUT_SyntheticFuels!I$4:I$1000)</f>
        <v>1.60181760408632E-6</v>
      </c>
      <c r="K2024" s="1" cm="1">
        <f t="array" ref="K2024">SUMPRODUCT(ISNUMBER(SEARCH("SUP_NGAH2CCS",[1]OUT_SyntheticFuels!$C$4:$C$1000))*1,("Var_cap"=[1]OUT_SyntheticFuels!$B$4:$B$1000)*1,[1]OUT_SyntheticFuels!J$4:J$1000)</f>
        <v>1.3369264047920657E-4</v>
      </c>
    </row>
    <row r="2025" spans="2:11" x14ac:dyDescent="0.35">
      <c r="B2025" s="5" t="str">
        <f t="shared" si="1250"/>
        <v>SPS2</v>
      </c>
      <c r="C2025" s="5" t="str">
        <f t="shared" si="1271"/>
        <v>CH</v>
      </c>
      <c r="D2025" t="s">
        <v>2152</v>
      </c>
      <c r="E2025" t="s">
        <v>2155</v>
      </c>
      <c r="F2025" s="1">
        <f t="shared" ref="F2025" si="1284">SUM(F2026:F2027)</f>
        <v>0</v>
      </c>
      <c r="G2025" s="1">
        <f t="shared" ref="G2025" si="1285">SUM(G2026:G2027)</f>
        <v>0</v>
      </c>
      <c r="H2025" s="1">
        <f t="shared" ref="H2025" si="1286">SUM(H2026:H2027)</f>
        <v>0</v>
      </c>
      <c r="I2025" s="1">
        <f t="shared" ref="I2025" si="1287">SUM(I2026:I2027)</f>
        <v>9.0569378532613206E-5</v>
      </c>
      <c r="J2025" s="1">
        <f t="shared" ref="J2025" si="1288">SUM(J2026:J2027)</f>
        <v>0.30034606278046383</v>
      </c>
      <c r="K2025" s="1">
        <f t="shared" ref="K2025" si="1289">SUM(K2026:K2027)</f>
        <v>0.67391117288750702</v>
      </c>
    </row>
    <row r="2026" spans="2:11" x14ac:dyDescent="0.35">
      <c r="B2026" s="5" t="str">
        <f t="shared" si="1250"/>
        <v>SPS2</v>
      </c>
      <c r="C2026" s="5" t="str">
        <f t="shared" si="1271"/>
        <v>CH</v>
      </c>
      <c r="D2026" t="s">
        <v>2153</v>
      </c>
      <c r="E2026" t="s">
        <v>2155</v>
      </c>
      <c r="F2026" s="1" cm="1">
        <f t="array" ref="F2026">SUMPRODUCT(ISNUMBER(SEARCH("SUP_WODH2",[1]OUT_SyntheticFuels!$C$4:$C$1000))*1,("Var_cap"=[1]OUT_SyntheticFuels!$B$4:$B$1000)*1,[1]OUT_SyntheticFuels!E$4:E$1000)-F2027</f>
        <v>0</v>
      </c>
      <c r="G2026" s="1" cm="1">
        <f t="array" ref="G2026">SUMPRODUCT(ISNUMBER(SEARCH("SUP_WODH2",[1]OUT_SyntheticFuels!$C$4:$C$1000))*1,("Var_cap"=[1]OUT_SyntheticFuels!$B$4:$B$1000)*1,[1]OUT_SyntheticFuels!F$4:F$1000)-G2027</f>
        <v>0</v>
      </c>
      <c r="H2026" s="1" cm="1">
        <f t="array" ref="H2026">SUMPRODUCT(ISNUMBER(SEARCH("SUP_WODH2",[1]OUT_SyntheticFuels!$C$4:$C$1000))*1,("Var_cap"=[1]OUT_SyntheticFuels!$B$4:$B$1000)*1,[1]OUT_SyntheticFuels!G$4:G$1000)-H2027</f>
        <v>0</v>
      </c>
      <c r="I2026" s="1" cm="1">
        <f t="array" ref="I2026">SUMPRODUCT(ISNUMBER(SEARCH("SUP_WODH2",[1]OUT_SyntheticFuels!$C$4:$C$1000))*1,("Var_cap"=[1]OUT_SyntheticFuels!$B$4:$B$1000)*1,[1]OUT_SyntheticFuels!H$4:H$1000)-I2027</f>
        <v>9.0569378532613206E-5</v>
      </c>
      <c r="J2026" s="1" cm="1">
        <f t="array" ref="J2026">SUMPRODUCT(ISNUMBER(SEARCH("SUP_WODH2",[1]OUT_SyntheticFuels!$C$4:$C$1000))*1,("Var_cap"=[1]OUT_SyntheticFuels!$B$4:$B$1000)*1,[1]OUT_SyntheticFuels!I$4:I$1000)-J2027</f>
        <v>0.30034606278046383</v>
      </c>
      <c r="K2026" s="1" cm="1">
        <f t="array" ref="K2026">SUMPRODUCT(ISNUMBER(SEARCH("SUP_WODH2",[1]OUT_SyntheticFuels!$C$4:$C$1000))*1,("Var_cap"=[1]OUT_SyntheticFuels!$B$4:$B$1000)*1,[1]OUT_SyntheticFuels!J$4:J$1000)-K2027</f>
        <v>0.17304158515178902</v>
      </c>
    </row>
    <row r="2027" spans="2:11" x14ac:dyDescent="0.35">
      <c r="B2027" s="5" t="str">
        <f t="shared" si="1250"/>
        <v>SPS2</v>
      </c>
      <c r="C2027" s="5" t="str">
        <f t="shared" si="1271"/>
        <v>CH</v>
      </c>
      <c r="D2027" t="s">
        <v>2154</v>
      </c>
      <c r="E2027" t="s">
        <v>2155</v>
      </c>
      <c r="F2027" s="1" cm="1">
        <f t="array" ref="F2027">SUMPRODUCT(ISNUMBER(SEARCH("SUP_WODH2CCS",[1]OUT_SyntheticFuels!$C$4:$C$1000))*1,("Var_cap"=[1]OUT_SyntheticFuels!$B$4:$B$1000)*1,[1]OUT_SyntheticFuels!E$4:E$1000)</f>
        <v>0</v>
      </c>
      <c r="G2027" s="1" cm="1">
        <f t="array" ref="G2027">SUMPRODUCT(ISNUMBER(SEARCH("SUP_WODH2CCS",[1]OUT_SyntheticFuels!$C$4:$C$1000))*1,("Var_cap"=[1]OUT_SyntheticFuels!$B$4:$B$1000)*1,[1]OUT_SyntheticFuels!F$4:F$1000)</f>
        <v>0</v>
      </c>
      <c r="H2027" s="1" cm="1">
        <f t="array" ref="H2027">SUMPRODUCT(ISNUMBER(SEARCH("SUP_WODH2CCS",[1]OUT_SyntheticFuels!$C$4:$C$1000))*1,("Var_cap"=[1]OUT_SyntheticFuels!$B$4:$B$1000)*1,[1]OUT_SyntheticFuels!G$4:G$1000)</f>
        <v>0</v>
      </c>
      <c r="I2027" s="1" cm="1">
        <f t="array" ref="I2027">SUMPRODUCT(ISNUMBER(SEARCH("SUP_WODH2CCS",[1]OUT_SyntheticFuels!$C$4:$C$1000))*1,("Var_cap"=[1]OUT_SyntheticFuels!$B$4:$B$1000)*1,[1]OUT_SyntheticFuels!H$4:H$1000)</f>
        <v>0</v>
      </c>
      <c r="J2027" s="1" cm="1">
        <f t="array" ref="J2027">SUMPRODUCT(ISNUMBER(SEARCH("SUP_WODH2CCS",[1]OUT_SyntheticFuels!$C$4:$C$1000))*1,("Var_cap"=[1]OUT_SyntheticFuels!$B$4:$B$1000)*1,[1]OUT_SyntheticFuels!I$4:I$1000)</f>
        <v>0</v>
      </c>
      <c r="K2027" s="1" cm="1">
        <f t="array" ref="K2027">SUMPRODUCT(ISNUMBER(SEARCH("SUP_WODH2CCS",[1]OUT_SyntheticFuels!$C$4:$C$1000))*1,("Var_cap"=[1]OUT_SyntheticFuels!$B$4:$B$1000)*1,[1]OUT_SyntheticFuels!J$4:J$1000)</f>
        <v>0.50086958773571799</v>
      </c>
    </row>
    <row r="2028" spans="2:11" x14ac:dyDescent="0.35">
      <c r="B2028" s="5" t="str">
        <f t="shared" si="1250"/>
        <v>SPS2</v>
      </c>
      <c r="C2028" s="5" t="str">
        <f>C2027</f>
        <v>CH</v>
      </c>
      <c r="D2028" s="2" t="s">
        <v>2159</v>
      </c>
      <c r="E2028" s="2" t="s">
        <v>2157</v>
      </c>
    </row>
    <row r="2029" spans="2:11" x14ac:dyDescent="0.35">
      <c r="B2029" s="5" t="str">
        <f t="shared" si="1250"/>
        <v>SPS2</v>
      </c>
      <c r="C2029" s="5" t="str">
        <f t="shared" ref="C2029:C2044" si="1290">C2028</f>
        <v>CH</v>
      </c>
      <c r="D2029" t="s">
        <v>2163</v>
      </c>
      <c r="E2029" t="s">
        <v>2157</v>
      </c>
      <c r="F2029" s="7" cm="1">
        <f t="array" ref="F2029">SUMPRODUCT(("CT_CWODBDS"=[1]OUT_SyntheticFuels!$C$4:$C$1000)*1,("Var_cap"=[1]OUT_SyntheticFuels!$B$4:$B$1000)*1,[1]OUT_SyntheticFuels!E$4:E$1000)</f>
        <v>6.2412710042628362E-2</v>
      </c>
      <c r="G2029" s="7" cm="1">
        <f t="array" ref="G2029">SUMPRODUCT(("CT_CWODBDS"=[1]OUT_SyntheticFuels!$C$4:$C$1000)*1,("Var_cap"=[1]OUT_SyntheticFuels!$B$4:$B$1000)*1,[1]OUT_SyntheticFuels!F$4:F$1000)</f>
        <v>6.2413646985179552E-2</v>
      </c>
      <c r="H2029" s="7" cm="1">
        <f t="array" ref="H2029">SUMPRODUCT(("CT_CWODBDS"=[1]OUT_SyntheticFuels!$C$4:$C$1000)*1,("Var_cap"=[1]OUT_SyntheticFuels!$B$4:$B$1000)*1,[1]OUT_SyntheticFuels!G$4:G$1000)</f>
        <v>6.2378056463195906E-2</v>
      </c>
      <c r="I2029" s="7" cm="1">
        <f t="array" ref="I2029">SUMPRODUCT(("CT_CWODBDS"=[1]OUT_SyntheticFuels!$C$4:$C$1000)*1,("Var_cap"=[1]OUT_SyntheticFuels!$B$4:$B$1000)*1,[1]OUT_SyntheticFuels!H$4:H$1000)</f>
        <v>4.9477639747020991E-2</v>
      </c>
      <c r="J2029" s="7" cm="1">
        <f t="array" ref="J2029">SUMPRODUCT(("CT_CWODBDS"=[1]OUT_SyntheticFuels!$C$4:$C$1000)*1,("Var_cap"=[1]OUT_SyntheticFuels!$B$4:$B$1000)*1,[1]OUT_SyntheticFuels!I$4:I$1000)</f>
        <v>0.1220174597931858</v>
      </c>
      <c r="K2029" s="7" cm="1">
        <f t="array" ref="K2029">SUMPRODUCT(("CT_CWODBDS"=[1]OUT_SyntheticFuels!$C$4:$C$1000)*1,("Var_cap"=[1]OUT_SyntheticFuels!$B$4:$B$1000)*1,[1]OUT_SyntheticFuels!J$4:J$1000)</f>
        <v>9.7223515414811168E-2</v>
      </c>
    </row>
    <row r="2030" spans="2:11" x14ac:dyDescent="0.35">
      <c r="B2030" s="5" t="str">
        <f t="shared" si="1250"/>
        <v>SPS2</v>
      </c>
      <c r="C2030" s="5" t="str">
        <f t="shared" si="1290"/>
        <v>CH</v>
      </c>
      <c r="D2030" t="s">
        <v>2164</v>
      </c>
      <c r="E2030" t="s">
        <v>2157</v>
      </c>
      <c r="F2030" s="7" cm="1">
        <f t="array" ref="F2030">SUMPRODUCT(("CT_CWODBDSCCS"=[1]OUT_SyntheticFuels!$C$4:$C$1000)*1,("Var_cap"=[1]OUT_SyntheticFuels!$B$4:$B$1000)*1,[1]OUT_SyntheticFuels!E$4:E$1000)</f>
        <v>0</v>
      </c>
      <c r="G2030" s="7" cm="1">
        <f t="array" ref="G2030">SUMPRODUCT(("CT_CWODBDSCCS"=[1]OUT_SyntheticFuels!$C$4:$C$1000)*1,("Var_cap"=[1]OUT_SyntheticFuels!$B$4:$B$1000)*1,[1]OUT_SyntheticFuels!F$4:F$1000)</f>
        <v>0</v>
      </c>
      <c r="H2030" s="7" cm="1">
        <f t="array" ref="H2030">SUMPRODUCT(("CT_CWODBDSCCS"=[1]OUT_SyntheticFuels!$C$4:$C$1000)*1,("Var_cap"=[1]OUT_SyntheticFuels!$B$4:$B$1000)*1,[1]OUT_SyntheticFuels!G$4:G$1000)</f>
        <v>0</v>
      </c>
      <c r="I2030" s="7" cm="1">
        <f t="array" ref="I2030">SUMPRODUCT(("CT_CWODBDSCCS"=[1]OUT_SyntheticFuels!$C$4:$C$1000)*1,("Var_cap"=[1]OUT_SyntheticFuels!$B$4:$B$1000)*1,[1]OUT_SyntheticFuels!H$4:H$1000)</f>
        <v>0</v>
      </c>
      <c r="J2030" s="7" cm="1">
        <f t="array" ref="J2030">SUMPRODUCT(("CT_CWODBDSCCS"=[1]OUT_SyntheticFuels!$C$4:$C$1000)*1,("Var_cap"=[1]OUT_SyntheticFuels!$B$4:$B$1000)*1,[1]OUT_SyntheticFuels!I$4:I$1000)</f>
        <v>3.1732844948973002E-4</v>
      </c>
      <c r="K2030" s="7" cm="1">
        <f t="array" ref="K2030">SUMPRODUCT(("CT_CWODBDSCCS"=[1]OUT_SyntheticFuels!$C$4:$C$1000)*1,("Var_cap"=[1]OUT_SyntheticFuels!$B$4:$B$1000)*1,[1]OUT_SyntheticFuels!J$4:J$1000)</f>
        <v>0.20357245448797101</v>
      </c>
    </row>
    <row r="2031" spans="2:11" x14ac:dyDescent="0.35">
      <c r="B2031" s="5" t="str">
        <f t="shared" si="1250"/>
        <v>SPS2</v>
      </c>
      <c r="C2031" s="5" t="str">
        <f t="shared" si="1290"/>
        <v>CH</v>
      </c>
      <c r="D2031" t="s">
        <v>2168</v>
      </c>
      <c r="E2031" t="s">
        <v>2157</v>
      </c>
      <c r="F2031" s="7" cm="1">
        <f t="array" ref="F2031">SUMPRODUCT(("CT_CWODETH"=[1]OUT_SyntheticFuels!$C$4:$C$1000)*1,("Var_cap"=[1]OUT_SyntheticFuels!$B$4:$B$1000)*1,[1]OUT_SyntheticFuels!E$4:E$1000)</f>
        <v>5.7254876113112169E-2</v>
      </c>
      <c r="G2031" s="7" cm="1">
        <f t="array" ref="G2031">SUMPRODUCT(("CT_CWODETH"=[1]OUT_SyntheticFuels!$C$4:$C$1000)*1,("Var_cap"=[1]OUT_SyntheticFuels!$B$4:$B$1000)*1,[1]OUT_SyntheticFuels!F$4:F$1000)</f>
        <v>5.7255799483630597E-2</v>
      </c>
      <c r="H2031" s="7" cm="1">
        <f t="array" ref="H2031">SUMPRODUCT(("CT_CWODETH"=[1]OUT_SyntheticFuels!$C$4:$C$1000)*1,("Var_cap"=[1]OUT_SyntheticFuels!$B$4:$B$1000)*1,[1]OUT_SyntheticFuels!G$4:G$1000)</f>
        <v>6.525700051785395E-2</v>
      </c>
      <c r="I2031" s="7" cm="1">
        <f t="array" ref="I2031">SUMPRODUCT(("CT_CWODETH"=[1]OUT_SyntheticFuels!$C$4:$C$1000)*1,("Var_cap"=[1]OUT_SyntheticFuels!$B$4:$B$1000)*1,[1]OUT_SyntheticFuels!H$4:H$1000)</f>
        <v>6.4138845715589768E-2</v>
      </c>
      <c r="J2031" s="7" cm="1">
        <f t="array" ref="J2031">SUMPRODUCT(("CT_CWODETH"=[1]OUT_SyntheticFuels!$C$4:$C$1000)*1,("Var_cap"=[1]OUT_SyntheticFuels!$B$4:$B$1000)*1,[1]OUT_SyntheticFuels!I$4:I$1000)</f>
        <v>1.1135721875949953E-4</v>
      </c>
      <c r="K2031" s="7" cm="1">
        <f t="array" ref="K2031">SUMPRODUCT(("CT_CWODETH"=[1]OUT_SyntheticFuels!$C$4:$C$1000)*1,("Var_cap"=[1]OUT_SyntheticFuels!$B$4:$B$1000)*1,[1]OUT_SyntheticFuels!J$4:J$1000)</f>
        <v>8.1541656827983941E-5</v>
      </c>
    </row>
    <row r="2032" spans="2:11" x14ac:dyDescent="0.35">
      <c r="B2032" s="5" t="str">
        <f t="shared" si="1250"/>
        <v>SPS2</v>
      </c>
      <c r="C2032" s="5" t="str">
        <f t="shared" si="1290"/>
        <v>CH</v>
      </c>
      <c r="D2032" t="s">
        <v>2169</v>
      </c>
      <c r="E2032" t="s">
        <v>2157</v>
      </c>
      <c r="F2032" s="7" cm="1">
        <f t="array" ref="F2032">SUMPRODUCT(("CT_CWODETHCCS"=[1]OUT_SyntheticFuels!$C$4:$C$1000)*1,("Var_cap"=[1]OUT_SyntheticFuels!$B$4:$B$1000)*1,[1]OUT_SyntheticFuels!E$4:E$1000)</f>
        <v>0</v>
      </c>
      <c r="G2032" s="7" cm="1">
        <f t="array" ref="G2032">SUMPRODUCT(("CT_CWODETHCCS"=[1]OUT_SyntheticFuels!$C$4:$C$1000)*1,("Var_cap"=[1]OUT_SyntheticFuels!$B$4:$B$1000)*1,[1]OUT_SyntheticFuels!F$4:F$1000)</f>
        <v>0</v>
      </c>
      <c r="H2032" s="7" cm="1">
        <f t="array" ref="H2032">SUMPRODUCT(("CT_CWODETHCCS"=[1]OUT_SyntheticFuels!$C$4:$C$1000)*1,("Var_cap"=[1]OUT_SyntheticFuels!$B$4:$B$1000)*1,[1]OUT_SyntheticFuels!G$4:G$1000)</f>
        <v>0</v>
      </c>
      <c r="I2032" s="7" cm="1">
        <f t="array" ref="I2032">SUMPRODUCT(("CT_CWODETHCCS"=[1]OUT_SyntheticFuels!$C$4:$C$1000)*1,("Var_cap"=[1]OUT_SyntheticFuels!$B$4:$B$1000)*1,[1]OUT_SyntheticFuels!H$4:H$1000)</f>
        <v>0</v>
      </c>
      <c r="J2032" s="7" cm="1">
        <f t="array" ref="J2032">SUMPRODUCT(("CT_CWODETHCCS"=[1]OUT_SyntheticFuels!$C$4:$C$1000)*1,("Var_cap"=[1]OUT_SyntheticFuels!$B$4:$B$1000)*1,[1]OUT_SyntheticFuels!I$4:I$1000)</f>
        <v>5.0764122999216698E-5</v>
      </c>
      <c r="K2032" s="7" cm="1">
        <f t="array" ref="K2032">SUMPRODUCT(("CT_CWODETHCCS"=[1]OUT_SyntheticFuels!$C$4:$C$1000)*1,("Var_cap"=[1]OUT_SyntheticFuels!$B$4:$B$1000)*1,[1]OUT_SyntheticFuels!J$4:J$1000)</f>
        <v>1.4895601379893201E-3</v>
      </c>
    </row>
    <row r="2033" spans="2:11" x14ac:dyDescent="0.35">
      <c r="B2033" s="5" t="str">
        <f t="shared" si="1250"/>
        <v>SPS2</v>
      </c>
      <c r="C2033" s="5" t="str">
        <f t="shared" si="1290"/>
        <v>CH</v>
      </c>
      <c r="D2033" t="s">
        <v>2162</v>
      </c>
      <c r="E2033" t="s">
        <v>2157</v>
      </c>
      <c r="F2033" s="7" cm="1">
        <f t="array" ref="F2033">SUMPRODUCT(("SUP_MNRBIO"=[1]OUT_SyntheticFuels!$C$4:$C$1000)*1,("Var_cap"=[1]OUT_SyntheticFuels!$B$4:$B$1000)*1,[1]OUT_SyntheticFuels!E$4:E$1000)</f>
        <v>5.3972686512701901E-2</v>
      </c>
      <c r="G2033" s="7" cm="1">
        <f t="array" ref="G2033">SUMPRODUCT(("SUP_MNRBIO"=[1]OUT_SyntheticFuels!$C$4:$C$1000)*1,("Var_cap"=[1]OUT_SyntheticFuels!$B$4:$B$1000)*1,[1]OUT_SyntheticFuels!F$4:F$1000)</f>
        <v>0.16240843617093814</v>
      </c>
      <c r="H2033" s="7" cm="1">
        <f t="array" ref="H2033">SUMPRODUCT(("SUP_MNRBIO"=[1]OUT_SyntheticFuels!$C$4:$C$1000)*1,("Var_cap"=[1]OUT_SyntheticFuels!$B$4:$B$1000)*1,[1]OUT_SyntheticFuels!G$4:G$1000)</f>
        <v>0.16241034360778889</v>
      </c>
      <c r="I2033" s="7" cm="1">
        <f t="array" ref="I2033">SUMPRODUCT(("SUP_MNRBIO"=[1]OUT_SyntheticFuels!$C$4:$C$1000)*1,("Var_cap"=[1]OUT_SyntheticFuels!$B$4:$B$1000)*1,[1]OUT_SyntheticFuels!H$4:H$1000)</f>
        <v>0.16240996168629371</v>
      </c>
      <c r="J2033" s="7" cm="1">
        <f t="array" ref="J2033">SUMPRODUCT(("SUP_MNRBIO"=[1]OUT_SyntheticFuels!$C$4:$C$1000)*1,("Var_cap"=[1]OUT_SyntheticFuels!$B$4:$B$1000)*1,[1]OUT_SyntheticFuels!I$4:I$1000)</f>
        <v>0.22482233656059333</v>
      </c>
      <c r="K2033" s="7" cm="1">
        <f t="array" ref="K2033">SUMPRODUCT(("SUP_MNRBIO"=[1]OUT_SyntheticFuels!$C$4:$C$1000)*1,("Var_cap"=[1]OUT_SyntheticFuels!$B$4:$B$1000)*1,[1]OUT_SyntheticFuels!J$4:J$1000)</f>
        <v>0.24384832184804089</v>
      </c>
    </row>
    <row r="2034" spans="2:11" x14ac:dyDescent="0.35">
      <c r="B2034" s="5" t="str">
        <f t="shared" si="1250"/>
        <v>SPS2</v>
      </c>
      <c r="C2034" s="5" t="str">
        <f t="shared" si="1290"/>
        <v>CH</v>
      </c>
      <c r="D2034" t="s">
        <v>2158</v>
      </c>
      <c r="E2034" t="s">
        <v>2157</v>
      </c>
      <c r="F2034" s="7" cm="1">
        <f t="array" ref="F2034">SUMPRODUCT(("SUP_WSTBIO"=[1]OUT_SyntheticFuels!$C$4:$C$1000)*1,("Var_cap"=[1]OUT_SyntheticFuels!$B$4:$B$1000)*1,[1]OUT_SyntheticFuels!E$4:E$1000)</f>
        <v>0.21267469853662693</v>
      </c>
      <c r="G2034" s="7" cm="1">
        <f t="array" ref="G2034">SUMPRODUCT(("SUP_WSTBIO"=[1]OUT_SyntheticFuels!$C$4:$C$1000)*1,("Var_cap"=[1]OUT_SyntheticFuels!$B$4:$B$1000)*1,[1]OUT_SyntheticFuels!F$4:F$1000)</f>
        <v>0.21644159557482834</v>
      </c>
      <c r="H2034" s="7" cm="1">
        <f t="array" ref="H2034">SUMPRODUCT(("SUP_WSTBIO"=[1]OUT_SyntheticFuels!$C$4:$C$1000)*1,("Var_cap"=[1]OUT_SyntheticFuels!$B$4:$B$1000)*1,[1]OUT_SyntheticFuels!G$4:G$1000)</f>
        <v>0.21643310591877382</v>
      </c>
      <c r="I2034" s="7" cm="1">
        <f t="array" ref="I2034">SUMPRODUCT(("SUP_WSTBIO"=[1]OUT_SyntheticFuels!$C$4:$C$1000)*1,("Var_cap"=[1]OUT_SyntheticFuels!$B$4:$B$1000)*1,[1]OUT_SyntheticFuels!H$4:H$1000)</f>
        <v>0.26146643908896389</v>
      </c>
      <c r="J2034" s="7" cm="1">
        <f t="array" ref="J2034">SUMPRODUCT(("SUP_WSTBIO"=[1]OUT_SyntheticFuels!$C$4:$C$1000)*1,("Var_cap"=[1]OUT_SyntheticFuels!$B$4:$B$1000)*1,[1]OUT_SyntheticFuels!I$4:I$1000)</f>
        <v>0.31763808677053512</v>
      </c>
      <c r="K2034" s="7" cm="1">
        <f t="array" ref="K2034">SUMPRODUCT(("SUP_WSTBIO"=[1]OUT_SyntheticFuels!$C$4:$C$1000)*1,("Var_cap"=[1]OUT_SyntheticFuels!$B$4:$B$1000)*1,[1]OUT_SyntheticFuels!J$4:J$1000)</f>
        <v>0.37191122036859531</v>
      </c>
    </row>
    <row r="2035" spans="2:11" x14ac:dyDescent="0.35">
      <c r="B2035" s="5" t="str">
        <f t="shared" si="1250"/>
        <v>SPS2</v>
      </c>
      <c r="C2035" s="5" t="str">
        <f t="shared" si="1290"/>
        <v>CH</v>
      </c>
      <c r="D2035" t="s">
        <v>2170</v>
      </c>
      <c r="E2035" t="s">
        <v>2157</v>
      </c>
      <c r="F2035" s="7" cm="1">
        <f t="array" ref="F2035">SUMPRODUCT(("SUP_WSTBIOCCS"=[1]OUT_SyntheticFuels!$C$4:$C$1000)*1,("Var_cap"=[1]OUT_SyntheticFuels!$B$4:$B$1000)*1,[1]OUT_SyntheticFuels!E$4:E$1000)</f>
        <v>0</v>
      </c>
      <c r="G2035" s="7" cm="1">
        <f t="array" ref="G2035">SUMPRODUCT(("SUP_WSTBIOCCS"=[1]OUT_SyntheticFuels!$C$4:$C$1000)*1,("Var_cap"=[1]OUT_SyntheticFuels!$B$4:$B$1000)*1,[1]OUT_SyntheticFuels!F$4:F$1000)</f>
        <v>0</v>
      </c>
      <c r="H2035" s="7" cm="1">
        <f t="array" ref="H2035">SUMPRODUCT(("SUP_WSTBIOCCS"=[1]OUT_SyntheticFuels!$C$4:$C$1000)*1,("Var_cap"=[1]OUT_SyntheticFuels!$B$4:$B$1000)*1,[1]OUT_SyntheticFuels!G$4:G$1000)</f>
        <v>0</v>
      </c>
      <c r="I2035" s="7" cm="1">
        <f t="array" ref="I2035">SUMPRODUCT(("SUP_WSTBIOCCS"=[1]OUT_SyntheticFuels!$C$4:$C$1000)*1,("Var_cap"=[1]OUT_SyntheticFuels!$B$4:$B$1000)*1,[1]OUT_SyntheticFuels!H$4:H$1000)</f>
        <v>0</v>
      </c>
      <c r="J2035" s="7" cm="1">
        <f t="array" ref="J2035">SUMPRODUCT(("SUP_WSTBIOCCS"=[1]OUT_SyntheticFuels!$C$4:$C$1000)*1,("Var_cap"=[1]OUT_SyntheticFuels!$B$4:$B$1000)*1,[1]OUT_SyntheticFuels!I$4:I$1000)</f>
        <v>0</v>
      </c>
      <c r="K2035" s="7" cm="1">
        <f t="array" ref="K2035">SUMPRODUCT(("SUP_WSTBIOCCS"=[1]OUT_SyntheticFuels!$C$4:$C$1000)*1,("Var_cap"=[1]OUT_SyntheticFuels!$B$4:$B$1000)*1,[1]OUT_SyntheticFuels!J$4:J$1000)</f>
        <v>0</v>
      </c>
    </row>
    <row r="2036" spans="2:11" x14ac:dyDescent="0.35">
      <c r="B2036" s="5" t="str">
        <f t="shared" ref="B2036:B2044" si="1291">B2035</f>
        <v>SPS2</v>
      </c>
      <c r="C2036" s="5" t="str">
        <f t="shared" si="1290"/>
        <v>CH</v>
      </c>
      <c r="D2036" t="s">
        <v>2171</v>
      </c>
      <c r="E2036" t="s">
        <v>2157</v>
      </c>
      <c r="F2036" s="7" cm="1">
        <f t="array" ref="F2036">SUMPRODUCT(("SUP_WSTHTGBIO"=[1]OUT_SyntheticFuels!$C$4:$C$1000)*1,("Var_cap"=[1]OUT_SyntheticFuels!$B$4:$B$1000)*1,[1]OUT_SyntheticFuels!E$4:E$1000)</f>
        <v>0</v>
      </c>
      <c r="G2036" s="7" cm="1">
        <f t="array" ref="G2036">SUMPRODUCT(("SUP_WSTHTGBIO"=[1]OUT_SyntheticFuels!$C$4:$C$1000)*1,("Var_cap"=[1]OUT_SyntheticFuels!$B$4:$B$1000)*1,[1]OUT_SyntheticFuels!F$4:F$1000)</f>
        <v>0</v>
      </c>
      <c r="H2036" s="7" cm="1">
        <f t="array" ref="H2036">SUMPRODUCT(("SUP_WSTHTGBIO"=[1]OUT_SyntheticFuels!$C$4:$C$1000)*1,("Var_cap"=[1]OUT_SyntheticFuels!$B$4:$B$1000)*1,[1]OUT_SyntheticFuels!G$4:G$1000)</f>
        <v>0</v>
      </c>
      <c r="I2036" s="7" cm="1">
        <f t="array" ref="I2036">SUMPRODUCT(("SUP_WSTHTGBIO"=[1]OUT_SyntheticFuels!$C$4:$C$1000)*1,("Var_cap"=[1]OUT_SyntheticFuels!$B$4:$B$1000)*1,[1]OUT_SyntheticFuels!H$4:H$1000)</f>
        <v>0</v>
      </c>
      <c r="J2036" s="7" cm="1">
        <f t="array" ref="J2036">SUMPRODUCT(("SUP_WSTHTGBIO"=[1]OUT_SyntheticFuels!$C$4:$C$1000)*1,("Var_cap"=[1]OUT_SyntheticFuels!$B$4:$B$1000)*1,[1]OUT_SyntheticFuels!I$4:I$1000)</f>
        <v>3.7157244810328799E-3</v>
      </c>
      <c r="K2036" s="7" cm="1">
        <f t="array" ref="K2036">SUMPRODUCT(("SUP_WSTHTGBIO"=[1]OUT_SyntheticFuels!$C$4:$C$1000)*1,("Var_cap"=[1]OUT_SyntheticFuels!$B$4:$B$1000)*1,[1]OUT_SyntheticFuels!J$4:J$1000)</f>
        <v>3.7800905874230224E-3</v>
      </c>
    </row>
    <row r="2037" spans="2:11" x14ac:dyDescent="0.35">
      <c r="B2037" s="5" t="str">
        <f t="shared" si="1291"/>
        <v>SPS2</v>
      </c>
      <c r="C2037" s="5" t="str">
        <f t="shared" si="1290"/>
        <v>CH</v>
      </c>
      <c r="D2037" t="s">
        <v>2172</v>
      </c>
      <c r="E2037" t="s">
        <v>2157</v>
      </c>
      <c r="F2037" s="7" cm="1">
        <f t="array" ref="F2037">SUMPRODUCT(("SUP_WSTHTGBIOCCS"=[1]OUT_SyntheticFuels!$C$4:$C$1000)*1,("Var_cap"=[1]OUT_SyntheticFuels!$B$4:$B$1000)*1,[1]OUT_SyntheticFuels!E$4:E$1000)</f>
        <v>0</v>
      </c>
      <c r="G2037" s="7" cm="1">
        <f t="array" ref="G2037">SUMPRODUCT(("SUP_WSTHTGBIOCCS"=[1]OUT_SyntheticFuels!$C$4:$C$1000)*1,("Var_cap"=[1]OUT_SyntheticFuels!$B$4:$B$1000)*1,[1]OUT_SyntheticFuels!F$4:F$1000)</f>
        <v>0</v>
      </c>
      <c r="H2037" s="7" cm="1">
        <f t="array" ref="H2037">SUMPRODUCT(("SUP_WSTHTGBIOCCS"=[1]OUT_SyntheticFuels!$C$4:$C$1000)*1,("Var_cap"=[1]OUT_SyntheticFuels!$B$4:$B$1000)*1,[1]OUT_SyntheticFuels!G$4:G$1000)</f>
        <v>0</v>
      </c>
      <c r="I2037" s="7" cm="1">
        <f t="array" ref="I2037">SUMPRODUCT(("SUP_WSTHTGBIOCCS"=[1]OUT_SyntheticFuels!$C$4:$C$1000)*1,("Var_cap"=[1]OUT_SyntheticFuels!$B$4:$B$1000)*1,[1]OUT_SyntheticFuels!H$4:H$1000)</f>
        <v>0</v>
      </c>
      <c r="J2037" s="7" cm="1">
        <f t="array" ref="J2037">SUMPRODUCT(("SUP_WSTHTGBIOCCS"=[1]OUT_SyntheticFuels!$C$4:$C$1000)*1,("Var_cap"=[1]OUT_SyntheticFuels!$B$4:$B$1000)*1,[1]OUT_SyntheticFuels!I$4:I$1000)</f>
        <v>2.9532689347206699E-5</v>
      </c>
      <c r="K2037" s="7" cm="1">
        <f t="array" ref="K2037">SUMPRODUCT(("SUP_WSTHTGBIOCCS"=[1]OUT_SyntheticFuels!$C$4:$C$1000)*1,("Var_cap"=[1]OUT_SyntheticFuels!$B$4:$B$1000)*1,[1]OUT_SyntheticFuels!J$4:J$1000)</f>
        <v>5.3101773311649855E-4</v>
      </c>
    </row>
    <row r="2038" spans="2:11" x14ac:dyDescent="0.35">
      <c r="B2038" s="5" t="str">
        <f t="shared" si="1291"/>
        <v>SPS2</v>
      </c>
      <c r="C2038" s="5" t="str">
        <f t="shared" si="1290"/>
        <v>CH</v>
      </c>
      <c r="D2038" t="s">
        <v>2173</v>
      </c>
      <c r="E2038" t="s">
        <v>2157</v>
      </c>
      <c r="F2038" s="7" cm="1">
        <f t="array" ref="F2038">SUMPRODUCT(("SUP_WODBIO"=[1]OUT_SyntheticFuels!$C$4:$C$1000)*1,("Var_cap"=[1]OUT_SyntheticFuels!$B$4:$B$1000)*1,[1]OUT_SyntheticFuels!E$4:E$1000)</f>
        <v>1.7900586657051301E-6</v>
      </c>
      <c r="G2038" s="7" cm="1">
        <f t="array" ref="G2038">SUMPRODUCT(("SUP_WODBIO"=[1]OUT_SyntheticFuels!$C$4:$C$1000)*1,("Var_cap"=[1]OUT_SyntheticFuels!$B$4:$B$1000)*1,[1]OUT_SyntheticFuels!F$4:F$1000)</f>
        <v>1.0088287897644114E-4</v>
      </c>
      <c r="H2038" s="7" cm="1">
        <f t="array" ref="H2038">SUMPRODUCT(("SUP_WODBIO"=[1]OUT_SyntheticFuels!$C$4:$C$1000)*1,("Var_cap"=[1]OUT_SyntheticFuels!$B$4:$B$1000)*1,[1]OUT_SyntheticFuels!G$4:G$1000)</f>
        <v>1.5068245115083906E-4</v>
      </c>
      <c r="I2038" s="7" cm="1">
        <f t="array" ref="I2038">SUMPRODUCT(("SUP_WODBIO"=[1]OUT_SyntheticFuels!$C$4:$C$1000)*1,("Var_cap"=[1]OUT_SyntheticFuels!$B$4:$B$1000)*1,[1]OUT_SyntheticFuels!H$4:H$1000)</f>
        <v>3.5505731549602865E-4</v>
      </c>
      <c r="J2038" s="7" cm="1">
        <f t="array" ref="J2038">SUMPRODUCT(("SUP_WODBIO"=[1]OUT_SyntheticFuels!$C$4:$C$1000)*1,("Var_cap"=[1]OUT_SyntheticFuels!$B$4:$B$1000)*1,[1]OUT_SyntheticFuels!I$4:I$1000)</f>
        <v>3.9244630771312683E-2</v>
      </c>
      <c r="K2038" s="7" cm="1">
        <f t="array" ref="K2038">SUMPRODUCT(("SUP_WODBIO"=[1]OUT_SyntheticFuels!$C$4:$C$1000)*1,("Var_cap"=[1]OUT_SyntheticFuels!$B$4:$B$1000)*1,[1]OUT_SyntheticFuels!J$4:J$1000)</f>
        <v>1.756589925685989E-4</v>
      </c>
    </row>
    <row r="2039" spans="2:11" x14ac:dyDescent="0.35">
      <c r="B2039" s="5" t="str">
        <f t="shared" si="1291"/>
        <v>SPS2</v>
      </c>
      <c r="C2039" s="5" t="str">
        <f t="shared" si="1290"/>
        <v>CH</v>
      </c>
      <c r="D2039" t="s">
        <v>2174</v>
      </c>
      <c r="E2039" t="s">
        <v>2157</v>
      </c>
      <c r="F2039" s="7" cm="1">
        <f t="array" ref="F2039">SUMPRODUCT(("SUP_WODBIOCCS"=[1]OUT_SyntheticFuels!$C$4:$C$1000)*1,("Var_cap"=[1]OUT_SyntheticFuels!$B$4:$B$1000)*1,[1]OUT_SyntheticFuels!E$4:E$1000)</f>
        <v>0</v>
      </c>
      <c r="G2039" s="7" cm="1">
        <f t="array" ref="G2039">SUMPRODUCT(("SUP_WODBIOCCS"=[1]OUT_SyntheticFuels!$C$4:$C$1000)*1,("Var_cap"=[1]OUT_SyntheticFuels!$B$4:$B$1000)*1,[1]OUT_SyntheticFuels!F$4:F$1000)</f>
        <v>0</v>
      </c>
      <c r="H2039" s="7" cm="1">
        <f t="array" ref="H2039">SUMPRODUCT(("SUP_WODBIOCCS"=[1]OUT_SyntheticFuels!$C$4:$C$1000)*1,("Var_cap"=[1]OUT_SyntheticFuels!$B$4:$B$1000)*1,[1]OUT_SyntheticFuels!G$4:G$1000)</f>
        <v>0</v>
      </c>
      <c r="I2039" s="7" cm="1">
        <f t="array" ref="I2039">SUMPRODUCT(("SUP_WODBIOCCS"=[1]OUT_SyntheticFuels!$C$4:$C$1000)*1,("Var_cap"=[1]OUT_SyntheticFuels!$B$4:$B$1000)*1,[1]OUT_SyntheticFuels!H$4:H$1000)</f>
        <v>0</v>
      </c>
      <c r="J2039" s="7" cm="1">
        <f t="array" ref="J2039">SUMPRODUCT(("SUP_WODBIOCCS"=[1]OUT_SyntheticFuels!$C$4:$C$1000)*1,("Var_cap"=[1]OUT_SyntheticFuels!$B$4:$B$1000)*1,[1]OUT_SyntheticFuels!I$4:I$1000)</f>
        <v>9.5062810263645803E-5</v>
      </c>
      <c r="K2039" s="7" cm="1">
        <f t="array" ref="K2039">SUMPRODUCT(("SUP_WODBIOCCS"=[1]OUT_SyntheticFuels!$C$4:$C$1000)*1,("Var_cap"=[1]OUT_SyntheticFuels!$B$4:$B$1000)*1,[1]OUT_SyntheticFuels!J$4:J$1000)</f>
        <v>6.1767827796519098E-2</v>
      </c>
    </row>
    <row r="2040" spans="2:11" x14ac:dyDescent="0.35">
      <c r="B2040" s="5" t="str">
        <f t="shared" si="1291"/>
        <v>SPS2</v>
      </c>
      <c r="C2040" s="5" t="str">
        <f t="shared" si="1290"/>
        <v>CH</v>
      </c>
      <c r="D2040" t="s">
        <v>2175</v>
      </c>
      <c r="E2040" t="s">
        <v>2157</v>
      </c>
      <c r="F2040" s="7" cm="1">
        <f t="array" ref="F2040">SUMPRODUCT(("SUP_BIONGA"=[1]OUT_SyntheticFuels!$C$4:$C$1000)*1,("Var_cap"=[1]OUT_SyntheticFuels!$B$4:$B$1000)*1,[1]OUT_SyntheticFuels!E$4:E$1000)</f>
        <v>4.2231076855243924E-2</v>
      </c>
      <c r="G2040" s="7" cm="1">
        <f t="array" ref="G2040">SUMPRODUCT(("SUP_BIONGA"=[1]OUT_SyntheticFuels!$C$4:$C$1000)*1,("Var_cap"=[1]OUT_SyntheticFuels!$B$4:$B$1000)*1,[1]OUT_SyntheticFuels!F$4:F$1000)</f>
        <v>0.11528335693814655</v>
      </c>
      <c r="H2040" s="7" cm="1">
        <f t="array" ref="H2040">SUMPRODUCT(("SUP_BIONGA"=[1]OUT_SyntheticFuels!$C$4:$C$1000)*1,("Var_cap"=[1]OUT_SyntheticFuels!$B$4:$B$1000)*1,[1]OUT_SyntheticFuels!G$4:G$1000)</f>
        <v>0.11528265237857009</v>
      </c>
      <c r="I2040" s="7" cm="1">
        <f t="array" ref="I2040">SUMPRODUCT(("SUP_BIONGA"=[1]OUT_SyntheticFuels!$C$4:$C$1000)*1,("Var_cap"=[1]OUT_SyntheticFuels!$B$4:$B$1000)*1,[1]OUT_SyntheticFuels!H$4:H$1000)</f>
        <v>0.16481834574384133</v>
      </c>
      <c r="J2040" s="7" cm="1">
        <f t="array" ref="J2040">SUMPRODUCT(("SUP_BIONGA"=[1]OUT_SyntheticFuels!$C$4:$C$1000)*1,("Var_cap"=[1]OUT_SyntheticFuels!$B$4:$B$1000)*1,[1]OUT_SyntheticFuels!I$4:I$1000)</f>
        <v>0.26008746507760605</v>
      </c>
      <c r="K2040" s="7" cm="1">
        <f t="array" ref="K2040">SUMPRODUCT(("SUP_BIONGA"=[1]OUT_SyntheticFuels!$C$4:$C$1000)*1,("Var_cap"=[1]OUT_SyntheticFuels!$B$4:$B$1000)*1,[1]OUT_SyntheticFuels!J$4:J$1000)</f>
        <v>0.30232483963685747</v>
      </c>
    </row>
    <row r="2041" spans="2:11" x14ac:dyDescent="0.35">
      <c r="B2041" s="5" t="str">
        <f t="shared" si="1291"/>
        <v>SPS2</v>
      </c>
      <c r="C2041" s="5" t="str">
        <f t="shared" si="1290"/>
        <v>CH</v>
      </c>
      <c r="D2041" t="s">
        <v>2176</v>
      </c>
      <c r="E2041" t="s">
        <v>2157</v>
      </c>
      <c r="F2041" s="7" cm="1">
        <f t="array" ref="F2041">SUMPRODUCT(("CT_CWODPLT"=[1]OUT_SyntheticFuels!$C$4:$C$1000)*1,("Var_cap"=[1]OUT_SyntheticFuels!$B$4:$B$1000)*1,[1]OUT_SyntheticFuels!E$4:E$1000)</f>
        <v>0.35710636555036052</v>
      </c>
      <c r="G2041" s="7" cm="1">
        <f t="array" ref="G2041">SUMPRODUCT(("CT_CWODPLT"=[1]OUT_SyntheticFuels!$C$4:$C$1000)*1,("Var_cap"=[1]OUT_SyntheticFuels!$B$4:$B$1000)*1,[1]OUT_SyntheticFuels!F$4:F$1000)</f>
        <v>0.40974903469946011</v>
      </c>
      <c r="H2041" s="7" cm="1">
        <f t="array" ref="H2041">SUMPRODUCT(("CT_CWODPLT"=[1]OUT_SyntheticFuels!$C$4:$C$1000)*1,("Var_cap"=[1]OUT_SyntheticFuels!$B$4:$B$1000)*1,[1]OUT_SyntheticFuels!G$4:G$1000)</f>
        <v>0.12267332453639201</v>
      </c>
      <c r="I2041" s="7" cm="1">
        <f t="array" ref="I2041">SUMPRODUCT(("CT_CWODPLT"=[1]OUT_SyntheticFuels!$C$4:$C$1000)*1,("Var_cap"=[1]OUT_SyntheticFuels!$B$4:$B$1000)*1,[1]OUT_SyntheticFuels!H$4:H$1000)</f>
        <v>0.12258742321503197</v>
      </c>
      <c r="J2041" s="7" cm="1">
        <f t="array" ref="J2041">SUMPRODUCT(("CT_CWODPLT"=[1]OUT_SyntheticFuels!$C$4:$C$1000)*1,("Var_cap"=[1]OUT_SyntheticFuels!$B$4:$B$1000)*1,[1]OUT_SyntheticFuels!I$4:I$1000)</f>
        <v>0.13977573226371789</v>
      </c>
      <c r="K2041" s="7" cm="1">
        <f t="array" ref="K2041">SUMPRODUCT(("CT_CWODPLT"=[1]OUT_SyntheticFuels!$C$4:$C$1000)*1,("Var_cap"=[1]OUT_SyntheticFuels!$B$4:$B$1000)*1,[1]OUT_SyntheticFuels!J$4:J$1000)</f>
        <v>0.1286053162648623</v>
      </c>
    </row>
    <row r="2042" spans="2:11" x14ac:dyDescent="0.35">
      <c r="B2042" s="5" t="str">
        <f t="shared" si="1291"/>
        <v>SPS2</v>
      </c>
      <c r="C2042" s="5" t="str">
        <f t="shared" si="1290"/>
        <v>CH</v>
      </c>
      <c r="D2042" t="s">
        <v>2177</v>
      </c>
      <c r="E2042" t="s">
        <v>2157</v>
      </c>
      <c r="F2042" s="7" cm="1">
        <f t="array" ref="F2042">SUMPRODUCT(("SUP_H2NGA"=[1]OUT_SyntheticFuels!$C$4:$C$1000)*1,("Var_cap"=[1]OUT_SyntheticFuels!$B$4:$B$1000)*1,[1]OUT_SyntheticFuels!E$4:E$1000)</f>
        <v>0</v>
      </c>
      <c r="G2042" s="7" cm="1">
        <f t="array" ref="G2042">SUMPRODUCT(("SUP_H2NGA"=[1]OUT_SyntheticFuels!$C$4:$C$1000)*1,("Var_cap"=[1]OUT_SyntheticFuels!$B$4:$B$1000)*1,[1]OUT_SyntheticFuels!F$4:F$1000)</f>
        <v>0</v>
      </c>
      <c r="H2042" s="7" cm="1">
        <f t="array" ref="H2042">SUMPRODUCT(("SUP_H2NGA"=[1]OUT_SyntheticFuels!$C$4:$C$1000)*1,("Var_cap"=[1]OUT_SyntheticFuels!$B$4:$B$1000)*1,[1]OUT_SyntheticFuels!G$4:G$1000)</f>
        <v>0</v>
      </c>
      <c r="I2042" s="7" cm="1">
        <f t="array" ref="I2042">SUMPRODUCT(("SUP_H2NGA"=[1]OUT_SyntheticFuels!$C$4:$C$1000)*1,("Var_cap"=[1]OUT_SyntheticFuels!$B$4:$B$1000)*1,[1]OUT_SyntheticFuels!H$4:H$1000)</f>
        <v>1.2607147479020099E-6</v>
      </c>
      <c r="J2042" s="7" cm="1">
        <f t="array" ref="J2042">SUMPRODUCT(("SUP_H2NGA"=[1]OUT_SyntheticFuels!$C$4:$C$1000)*1,("Var_cap"=[1]OUT_SyntheticFuels!$B$4:$B$1000)*1,[1]OUT_SyntheticFuels!I$4:I$1000)</f>
        <v>1.3070602341183948</v>
      </c>
      <c r="K2042" s="7" cm="1">
        <f t="array" ref="K2042">SUMPRODUCT(("SUP_H2NGA"=[1]OUT_SyntheticFuels!$C$4:$C$1000)*1,("Var_cap"=[1]OUT_SyntheticFuels!$B$4:$B$1000)*1,[1]OUT_SyntheticFuels!J$4:J$1000)</f>
        <v>1.5527886553261849</v>
      </c>
    </row>
    <row r="2043" spans="2:11" x14ac:dyDescent="0.35">
      <c r="B2043" s="5" t="str">
        <f t="shared" si="1291"/>
        <v>SPS2</v>
      </c>
      <c r="C2043" s="5" t="str">
        <f t="shared" si="1290"/>
        <v>CH</v>
      </c>
      <c r="D2043" t="s">
        <v>2178</v>
      </c>
      <c r="E2043" t="s">
        <v>2157</v>
      </c>
      <c r="F2043" s="7" cm="1">
        <f t="array" ref="F2043">SUMPRODUCT(("SUP_H2DSL"=[1]OUT_SyntheticFuels!$C$4:$C$1000)*1,("Var_cap"=[1]OUT_SyntheticFuels!$B$4:$B$1000)*1,[1]OUT_SyntheticFuels!E$4:E$1000)</f>
        <v>0</v>
      </c>
      <c r="G2043" s="7" cm="1">
        <f t="array" ref="G2043">SUMPRODUCT(("SUP_H2DSL"=[1]OUT_SyntheticFuels!$C$4:$C$1000)*1,("Var_cap"=[1]OUT_SyntheticFuels!$B$4:$B$1000)*1,[1]OUT_SyntheticFuels!F$4:F$1000)</f>
        <v>0</v>
      </c>
      <c r="H2043" s="7" cm="1">
        <f t="array" ref="H2043">SUMPRODUCT(("SUP_H2DSL"=[1]OUT_SyntheticFuels!$C$4:$C$1000)*1,("Var_cap"=[1]OUT_SyntheticFuels!$B$4:$B$1000)*1,[1]OUT_SyntheticFuels!G$4:G$1000)</f>
        <v>0</v>
      </c>
      <c r="I2043" s="7" cm="1">
        <f t="array" ref="I2043">SUMPRODUCT(("SUP_H2DSL"=[1]OUT_SyntheticFuels!$C$4:$C$1000)*1,("Var_cap"=[1]OUT_SyntheticFuels!$B$4:$B$1000)*1,[1]OUT_SyntheticFuels!H$4:H$1000)</f>
        <v>2.6591990864770102E-6</v>
      </c>
      <c r="J2043" s="7" cm="1">
        <f t="array" ref="J2043">SUMPRODUCT(("SUP_H2DSL"=[1]OUT_SyntheticFuels!$C$4:$C$1000)*1,("Var_cap"=[1]OUT_SyntheticFuels!$B$4:$B$1000)*1,[1]OUT_SyntheticFuels!I$4:I$1000)</f>
        <v>3.8387506595380684E-3</v>
      </c>
      <c r="K2043" s="7" cm="1">
        <f t="array" ref="K2043">SUMPRODUCT(("SUP_H2DSL"=[1]OUT_SyntheticFuels!$C$4:$C$1000)*1,("Var_cap"=[1]OUT_SyntheticFuels!$B$4:$B$1000)*1,[1]OUT_SyntheticFuels!J$4:J$1000)</f>
        <v>1.4670836832870531</v>
      </c>
    </row>
    <row r="2044" spans="2:11" x14ac:dyDescent="0.35">
      <c r="B2044" s="5" t="str">
        <f t="shared" si="1291"/>
        <v>SPS2</v>
      </c>
      <c r="C2044" s="5" t="str">
        <f t="shared" si="1290"/>
        <v>CH</v>
      </c>
      <c r="D2044" t="s">
        <v>2161</v>
      </c>
      <c r="E2044" t="s">
        <v>2157</v>
      </c>
      <c r="F2044" s="7" cm="1">
        <f t="array" ref="F2044">SUMPRODUCT(("SUP_H2GSL"=[1]OUT_SyntheticFuels!$C$4:$C$1000)*1,("Var_cap"=[1]OUT_SyntheticFuels!$B$4:$B$1000)*1,[1]OUT_SyntheticFuels!E$4:E$1000)</f>
        <v>0</v>
      </c>
      <c r="G2044" s="7" cm="1">
        <f t="array" ref="G2044">SUMPRODUCT(("SUP_H2GSL"=[1]OUT_SyntheticFuels!$C$4:$C$1000)*1,("Var_cap"=[1]OUT_SyntheticFuels!$B$4:$B$1000)*1,[1]OUT_SyntheticFuels!F$4:F$1000)</f>
        <v>0</v>
      </c>
      <c r="H2044" s="7" cm="1">
        <f t="array" ref="H2044">SUMPRODUCT(("SUP_H2GSL"=[1]OUT_SyntheticFuels!$C$4:$C$1000)*1,("Var_cap"=[1]OUT_SyntheticFuels!$B$4:$B$1000)*1,[1]OUT_SyntheticFuels!G$4:G$1000)</f>
        <v>0</v>
      </c>
      <c r="I2044" s="7" cm="1">
        <f t="array" ref="I2044">SUMPRODUCT(("SUP_H2GSL"=[1]OUT_SyntheticFuels!$C$4:$C$1000)*1,("Var_cap"=[1]OUT_SyntheticFuels!$B$4:$B$1000)*1,[1]OUT_SyntheticFuels!H$4:H$1000)</f>
        <v>4.4703328109487002E-6</v>
      </c>
      <c r="J2044" s="7" cm="1">
        <f t="array" ref="J2044">SUMPRODUCT(("SUP_H2GSL"=[1]OUT_SyntheticFuels!$C$4:$C$1000)*1,("Var_cap"=[1]OUT_SyntheticFuels!$B$4:$B$1000)*1,[1]OUT_SyntheticFuels!I$4:I$1000)</f>
        <v>6.8053639287791901E-2</v>
      </c>
      <c r="K2044" s="7" cm="1">
        <f t="array" ref="K2044">SUMPRODUCT(("SUP_H2GSL"=[1]OUT_SyntheticFuels!$C$4:$C$1000)*1,("Var_cap"=[1]OUT_SyntheticFuels!$B$4:$B$1000)*1,[1]OUT_SyntheticFuels!J$4:J$1000)</f>
        <v>6.8039812052910847E-2</v>
      </c>
    </row>
    <row r="2045" spans="2:11" x14ac:dyDescent="0.35">
      <c r="B2045" s="9" t="str">
        <f>B2044</f>
        <v>SPS2</v>
      </c>
      <c r="C2045" s="2" t="str">
        <f>C2044</f>
        <v>CH</v>
      </c>
      <c r="D2045" s="2" t="s">
        <v>2180</v>
      </c>
      <c r="E2045" s="2" t="s">
        <v>1858</v>
      </c>
      <c r="F2045" s="3">
        <f t="shared" ref="F2045:K2045" si="1292">SUM(F2046,F2048,F2052,F2056,F2072,F2079,F2087,F2089,F2097,F2101,F2095)</f>
        <v>1.2177533100417309E-2</v>
      </c>
      <c r="G2045" s="3">
        <f t="shared" si="1292"/>
        <v>0.10944189009786572</v>
      </c>
      <c r="H2045" s="3">
        <f t="shared" si="1292"/>
        <v>5.0670838090366743</v>
      </c>
      <c r="I2045" s="3">
        <f t="shared" si="1292"/>
        <v>9.3000965083344145</v>
      </c>
      <c r="J2045" s="3">
        <f t="shared" si="1292"/>
        <v>9.710597397682097</v>
      </c>
      <c r="K2045" s="3">
        <f t="shared" si="1292"/>
        <v>26.428948463132997</v>
      </c>
    </row>
    <row r="2046" spans="2:11" x14ac:dyDescent="0.35">
      <c r="B2046" s="5" t="str">
        <f>B2045</f>
        <v>SPS2</v>
      </c>
      <c r="C2046" s="5" t="str">
        <f t="shared" ref="C2046:C2109" si="1293">C2045</f>
        <v>CH</v>
      </c>
      <c r="D2046" t="s">
        <v>2198</v>
      </c>
      <c r="E2046" t="str">
        <f t="shared" ref="E2046:K2096" si="1294">E2045</f>
        <v>GWe/yr.</v>
      </c>
      <c r="F2046" s="1">
        <f t="shared" ref="F2046:K2046" si="1295">+F2047</f>
        <v>0</v>
      </c>
      <c r="G2046" s="1">
        <f t="shared" si="1295"/>
        <v>0</v>
      </c>
      <c r="H2046" s="1">
        <f t="shared" si="1295"/>
        <v>0</v>
      </c>
      <c r="I2046" s="1">
        <f t="shared" si="1295"/>
        <v>0</v>
      </c>
      <c r="J2046" s="1">
        <f t="shared" si="1295"/>
        <v>0</v>
      </c>
      <c r="K2046" s="1">
        <f t="shared" si="1295"/>
        <v>0</v>
      </c>
    </row>
    <row r="2047" spans="2:11" x14ac:dyDescent="0.35">
      <c r="B2047" s="5" t="str">
        <f t="shared" ref="B2047:B2108" si="1296">B2046</f>
        <v>SPS2</v>
      </c>
      <c r="C2047" s="5" t="str">
        <f t="shared" si="1293"/>
        <v>CH</v>
      </c>
      <c r="D2047" t="s">
        <v>2199</v>
      </c>
      <c r="E2047" t="str">
        <f t="shared" si="1294"/>
        <v>GWe/yr.</v>
      </c>
      <c r="F2047" s="1">
        <f>'[1]Electricity and CHPs_NCAP'!B$14</f>
        <v>0</v>
      </c>
      <c r="G2047" s="1">
        <f>'[1]Electricity and CHPs_NCAP'!C$14</f>
        <v>0</v>
      </c>
      <c r="H2047" s="1">
        <f>'[1]Electricity and CHPs_NCAP'!D$14</f>
        <v>0</v>
      </c>
      <c r="I2047" s="1">
        <f>'[1]Electricity and CHPs_NCAP'!E$14</f>
        <v>0</v>
      </c>
      <c r="J2047" s="1">
        <f>'[1]Electricity and CHPs_NCAP'!F$14</f>
        <v>0</v>
      </c>
      <c r="K2047" s="1">
        <f>'[1]Electricity and CHPs_NCAP'!G$14</f>
        <v>0</v>
      </c>
    </row>
    <row r="2048" spans="2:11" x14ac:dyDescent="0.35">
      <c r="B2048" s="5" t="str">
        <f t="shared" si="1296"/>
        <v>SPS2</v>
      </c>
      <c r="C2048" s="5" t="str">
        <f t="shared" si="1293"/>
        <v>CH</v>
      </c>
      <c r="D2048" t="s">
        <v>2200</v>
      </c>
      <c r="E2048" t="str">
        <f t="shared" si="1294"/>
        <v>GWe/yr.</v>
      </c>
      <c r="F2048" s="1">
        <f t="shared" ref="F2048:K2048" si="1297">SUM(F2049:F2051)</f>
        <v>0</v>
      </c>
      <c r="G2048" s="1">
        <f t="shared" si="1297"/>
        <v>8.2156854468875586E-3</v>
      </c>
      <c r="H2048" s="1">
        <f t="shared" si="1297"/>
        <v>0.29181075753903557</v>
      </c>
      <c r="I2048" s="1">
        <f t="shared" si="1297"/>
        <v>0.23947806266155194</v>
      </c>
      <c r="J2048" s="1">
        <f t="shared" si="1297"/>
        <v>0.21573886617895788</v>
      </c>
      <c r="K2048" s="1">
        <f t="shared" si="1297"/>
        <v>0.10752850785066084</v>
      </c>
    </row>
    <row r="2049" spans="2:11" x14ac:dyDescent="0.35">
      <c r="B2049" s="5" t="str">
        <f t="shared" si="1296"/>
        <v>SPS2</v>
      </c>
      <c r="C2049" s="5" t="str">
        <f t="shared" si="1293"/>
        <v>CH</v>
      </c>
      <c r="D2049" t="s">
        <v>2201</v>
      </c>
      <c r="E2049" t="str">
        <f t="shared" si="1294"/>
        <v>GWe/yr.</v>
      </c>
      <c r="F2049" s="1">
        <f>'[1]Electricity and CHPs_NCAP'!B$15</f>
        <v>0</v>
      </c>
      <c r="G2049" s="1">
        <f>'[1]Electricity and CHPs_NCAP'!C$15</f>
        <v>6.1182381696765695E-3</v>
      </c>
      <c r="H2049" s="1">
        <f>'[1]Electricity and CHPs_NCAP'!D$15</f>
        <v>3.9653195682115547E-2</v>
      </c>
      <c r="I2049" s="1">
        <f>'[1]Electricity and CHPs_NCAP'!E$15</f>
        <v>0.23816600688461198</v>
      </c>
      <c r="J2049" s="1">
        <f>'[1]Electricity and CHPs_NCAP'!F$15</f>
        <v>3.2985670964822925E-2</v>
      </c>
      <c r="K2049" s="1">
        <f>'[1]Electricity and CHPs_NCAP'!G$15</f>
        <v>0.10751204752947092</v>
      </c>
    </row>
    <row r="2050" spans="2:11" x14ac:dyDescent="0.35">
      <c r="B2050" s="5" t="str">
        <f t="shared" si="1296"/>
        <v>SPS2</v>
      </c>
      <c r="C2050" s="5" t="str">
        <f t="shared" si="1293"/>
        <v>CH</v>
      </c>
      <c r="D2050" t="s">
        <v>2202</v>
      </c>
      <c r="E2050" t="str">
        <f t="shared" si="1294"/>
        <v>GWe/yr.</v>
      </c>
      <c r="F2050" s="1">
        <f>'[1]Electricity and CHPs_NCAP'!B$16</f>
        <v>0</v>
      </c>
      <c r="G2050" s="1">
        <f>'[1]Electricity and CHPs_NCAP'!C$16</f>
        <v>1.401872766400424E-3</v>
      </c>
      <c r="H2050" s="1">
        <f>'[1]Electricity and CHPs_NCAP'!D$16</f>
        <v>0.2521572444135361</v>
      </c>
      <c r="I2050" s="1">
        <f>'[1]Electricity and CHPs_NCAP'!E$16</f>
        <v>1.3116035286895589E-3</v>
      </c>
      <c r="J2050" s="1">
        <f>'[1]Electricity and CHPs_NCAP'!F$16</f>
        <v>0.18275259415093628</v>
      </c>
      <c r="K2050" s="1">
        <f>'[1]Electricity and CHPs_NCAP'!G$16</f>
        <v>1.4601843956328909E-5</v>
      </c>
    </row>
    <row r="2051" spans="2:11" x14ac:dyDescent="0.35">
      <c r="B2051" s="5" t="str">
        <f t="shared" si="1296"/>
        <v>SPS2</v>
      </c>
      <c r="C2051" s="5" t="str">
        <f t="shared" si="1293"/>
        <v>CH</v>
      </c>
      <c r="D2051" t="s">
        <v>2203</v>
      </c>
      <c r="E2051" t="str">
        <f t="shared" si="1294"/>
        <v>GWe/yr.</v>
      </c>
      <c r="F2051" s="1">
        <f>'[1]Electricity and CHPs_NCAP'!B$17</f>
        <v>0</v>
      </c>
      <c r="G2051" s="1">
        <f>'[1]Electricity and CHPs_NCAP'!C$17</f>
        <v>6.9557451081056498E-4</v>
      </c>
      <c r="H2051" s="1">
        <f>'[1]Electricity and CHPs_NCAP'!D$17</f>
        <v>3.1744338393536801E-7</v>
      </c>
      <c r="I2051" s="1">
        <f>'[1]Electricity and CHPs_NCAP'!E$17</f>
        <v>4.5224825041288001E-7</v>
      </c>
      <c r="J2051" s="1">
        <f>'[1]Electricity and CHPs_NCAP'!F$17</f>
        <v>6.0106319867024803E-7</v>
      </c>
      <c r="K2051" s="1">
        <f>'[1]Electricity and CHPs_NCAP'!G$17</f>
        <v>1.8584772335977901E-6</v>
      </c>
    </row>
    <row r="2052" spans="2:11" x14ac:dyDescent="0.35">
      <c r="B2052" s="5" t="str">
        <f t="shared" si="1296"/>
        <v>SPS2</v>
      </c>
      <c r="C2052" s="5" t="str">
        <f t="shared" si="1293"/>
        <v>CH</v>
      </c>
      <c r="D2052" t="s">
        <v>2204</v>
      </c>
      <c r="E2052" t="str">
        <f t="shared" si="1294"/>
        <v>GWe/yr.</v>
      </c>
      <c r="F2052" s="1">
        <f t="shared" ref="F2052:K2052" si="1298">SUM(F2053:F2055)</f>
        <v>0</v>
      </c>
      <c r="G2052" s="1">
        <f t="shared" si="1298"/>
        <v>2.2167897444304481E-2</v>
      </c>
      <c r="H2052" s="1">
        <f t="shared" si="1298"/>
        <v>5.8892104547828257E-3</v>
      </c>
      <c r="I2052" s="1">
        <f t="shared" si="1298"/>
        <v>5.5070284180429509E-2</v>
      </c>
      <c r="J2052" s="1">
        <f t="shared" si="1298"/>
        <v>1.0759731456258942E-4</v>
      </c>
      <c r="K2052" s="1">
        <f t="shared" si="1298"/>
        <v>1.080039658545267E-4</v>
      </c>
    </row>
    <row r="2053" spans="2:11" x14ac:dyDescent="0.35">
      <c r="B2053" s="5" t="str">
        <f t="shared" si="1296"/>
        <v>SPS2</v>
      </c>
      <c r="C2053" s="5" t="str">
        <f t="shared" si="1293"/>
        <v>CH</v>
      </c>
      <c r="D2053" t="s">
        <v>2205</v>
      </c>
      <c r="E2053" t="str">
        <f t="shared" si="1294"/>
        <v>GWe/yr.</v>
      </c>
      <c r="F2053" s="1">
        <f>'[1]Electricity and CHPs_NCAP'!B$18</f>
        <v>0</v>
      </c>
      <c r="G2053" s="1">
        <f>'[1]Electricity and CHPs_NCAP'!C$18</f>
        <v>2.5612712594952401E-5</v>
      </c>
      <c r="H2053" s="1">
        <f>'[1]Electricity and CHPs_NCAP'!D$18</f>
        <v>5.87956230469868E-3</v>
      </c>
      <c r="I2053" s="1">
        <f>'[1]Electricity and CHPs_NCAP'!E$18</f>
        <v>5.5060794161154197E-2</v>
      </c>
      <c r="J2053" s="1">
        <f>'[1]Electricity and CHPs_NCAP'!F$18</f>
        <v>6.7536007184364196E-6</v>
      </c>
      <c r="K2053" s="1">
        <f>'[1]Electricity and CHPs_NCAP'!G$18</f>
        <v>6.88111828996671E-6</v>
      </c>
    </row>
    <row r="2054" spans="2:11" x14ac:dyDescent="0.35">
      <c r="B2054" s="5" t="str">
        <f t="shared" si="1296"/>
        <v>SPS2</v>
      </c>
      <c r="C2054" s="5" t="str">
        <f t="shared" si="1293"/>
        <v>CH</v>
      </c>
      <c r="D2054" t="s">
        <v>2206</v>
      </c>
      <c r="E2054" t="str">
        <f t="shared" si="1294"/>
        <v>GWe/yr.</v>
      </c>
      <c r="F2054" s="1">
        <f>'[1]Electricity and CHPs_NCAP'!B$28</f>
        <v>0</v>
      </c>
      <c r="G2054" s="1">
        <f>'[1]Electricity and CHPs_NCAP'!C$28</f>
        <v>8.4849427099263894E-6</v>
      </c>
      <c r="H2054" s="1">
        <f>'[1]Electricity and CHPs_NCAP'!D$28</f>
        <v>9.64815008414602E-6</v>
      </c>
      <c r="I2054" s="1">
        <f>'[1]Electricity and CHPs_NCAP'!E$28</f>
        <v>9.4900192753111706E-6</v>
      </c>
      <c r="J2054" s="1">
        <f>'[1]Electricity and CHPs_NCAP'!F$28</f>
        <v>1.00843713844153E-4</v>
      </c>
      <c r="K2054" s="1">
        <f>'[1]Electricity and CHPs_NCAP'!G$28</f>
        <v>1.0112284756456E-4</v>
      </c>
    </row>
    <row r="2055" spans="2:11" x14ac:dyDescent="0.35">
      <c r="B2055" s="5" t="str">
        <f t="shared" si="1296"/>
        <v>SPS2</v>
      </c>
      <c r="C2055" s="5" t="str">
        <f t="shared" si="1293"/>
        <v>CH</v>
      </c>
      <c r="D2055" t="s">
        <v>2207</v>
      </c>
      <c r="E2055" t="str">
        <f t="shared" si="1294"/>
        <v>GWe/yr.</v>
      </c>
      <c r="F2055" s="1">
        <f>'[1]Electricity and CHPs_NCAP'!B$41</f>
        <v>0</v>
      </c>
      <c r="G2055" s="1">
        <f>'[1]Electricity and CHPs_NCAP'!C$41</f>
        <v>2.2133799788999601E-2</v>
      </c>
      <c r="H2055" s="1">
        <f>'[1]Electricity and CHPs_NCAP'!D$41</f>
        <v>0</v>
      </c>
      <c r="I2055" s="1">
        <f>'[1]Electricity and CHPs_NCAP'!E$41</f>
        <v>0</v>
      </c>
      <c r="J2055" s="1">
        <f>'[1]Electricity and CHPs_NCAP'!F$41</f>
        <v>0</v>
      </c>
      <c r="K2055" s="1">
        <f>'[1]Electricity and CHPs_NCAP'!G$41</f>
        <v>0</v>
      </c>
    </row>
    <row r="2056" spans="2:11" x14ac:dyDescent="0.35">
      <c r="B2056" s="5" t="str">
        <f t="shared" si="1296"/>
        <v>SPS2</v>
      </c>
      <c r="C2056" s="5" t="str">
        <f t="shared" si="1293"/>
        <v>CH</v>
      </c>
      <c r="D2056" t="s">
        <v>2208</v>
      </c>
      <c r="E2056" t="str">
        <f t="shared" si="1294"/>
        <v>GWe/yr.</v>
      </c>
      <c r="F2056" s="1">
        <f t="shared" ref="F2056:K2056" si="1299">SUM(F2057:F2071)</f>
        <v>0</v>
      </c>
      <c r="G2056" s="1">
        <f t="shared" si="1299"/>
        <v>5.4502474944938949E-2</v>
      </c>
      <c r="H2056" s="1">
        <f t="shared" si="1299"/>
        <v>6.6885889742561676E-3</v>
      </c>
      <c r="I2056" s="1">
        <f t="shared" si="1299"/>
        <v>1.425868183896304E-2</v>
      </c>
      <c r="J2056" s="1">
        <f t="shared" si="1299"/>
        <v>0.15448663610419841</v>
      </c>
      <c r="K2056" s="1">
        <f t="shared" si="1299"/>
        <v>3.6858739068382287E-2</v>
      </c>
    </row>
    <row r="2057" spans="2:11" x14ac:dyDescent="0.35">
      <c r="B2057" s="5" t="str">
        <f t="shared" si="1296"/>
        <v>SPS2</v>
      </c>
      <c r="C2057" s="5" t="str">
        <f t="shared" si="1293"/>
        <v>CH</v>
      </c>
      <c r="D2057" t="s">
        <v>2209</v>
      </c>
      <c r="E2057" t="str">
        <f t="shared" si="1294"/>
        <v>GWe/yr.</v>
      </c>
      <c r="F2057" s="1">
        <f>'[1]Electricity and CHPs_NCAP'!B$21</f>
        <v>0</v>
      </c>
      <c r="G2057" s="1">
        <f>'[1]Electricity and CHPs_NCAP'!C$21</f>
        <v>0</v>
      </c>
      <c r="H2057" s="1">
        <f>'[1]Electricity and CHPs_NCAP'!D$21</f>
        <v>0</v>
      </c>
      <c r="I2057" s="1">
        <f>'[1]Electricity and CHPs_NCAP'!E$21</f>
        <v>0</v>
      </c>
      <c r="J2057" s="1">
        <f>'[1]Electricity and CHPs_NCAP'!F$21</f>
        <v>4.0714362348522501E-5</v>
      </c>
      <c r="K2057" s="1">
        <f>'[1]Electricity and CHPs_NCAP'!G$21</f>
        <v>5.2551258024800102E-4</v>
      </c>
    </row>
    <row r="2058" spans="2:11" x14ac:dyDescent="0.35">
      <c r="B2058" s="5" t="str">
        <f t="shared" si="1296"/>
        <v>SPS2</v>
      </c>
      <c r="C2058" s="5" t="str">
        <f t="shared" si="1293"/>
        <v>CH</v>
      </c>
      <c r="D2058" t="s">
        <v>2210</v>
      </c>
      <c r="E2058" t="str">
        <f t="shared" si="1294"/>
        <v>GWe/yr.</v>
      </c>
      <c r="F2058" s="1">
        <f>'[1]Electricity and CHPs_NCAP'!B$22</f>
        <v>0</v>
      </c>
      <c r="G2058" s="1">
        <f>'[1]Electricity and CHPs_NCAP'!C$22</f>
        <v>0</v>
      </c>
      <c r="H2058" s="1">
        <f>'[1]Electricity and CHPs_NCAP'!D$22</f>
        <v>0</v>
      </c>
      <c r="I2058" s="1">
        <f>'[1]Electricity and CHPs_NCAP'!E$22</f>
        <v>0</v>
      </c>
      <c r="J2058" s="1">
        <f>'[1]Electricity and CHPs_NCAP'!F$22</f>
        <v>1.13948629892905E-5</v>
      </c>
      <c r="K2058" s="1">
        <f>'[1]Electricity and CHPs_NCAP'!G$22</f>
        <v>9.4220798277544893E-6</v>
      </c>
    </row>
    <row r="2059" spans="2:11" x14ac:dyDescent="0.35">
      <c r="B2059" s="5" t="str">
        <f t="shared" si="1296"/>
        <v>SPS2</v>
      </c>
      <c r="C2059" s="5" t="str">
        <f t="shared" si="1293"/>
        <v>CH</v>
      </c>
      <c r="D2059" t="s">
        <v>2211</v>
      </c>
      <c r="E2059" t="str">
        <f t="shared" si="1294"/>
        <v>GWe/yr.</v>
      </c>
      <c r="F2059" s="1">
        <f>'[1]Electricity and CHPs_NCAP'!B$23</f>
        <v>0</v>
      </c>
      <c r="G2059" s="1">
        <f>'[1]Electricity and CHPs_NCAP'!C$23</f>
        <v>0</v>
      </c>
      <c r="H2059" s="1">
        <f>'[1]Electricity and CHPs_NCAP'!D$23</f>
        <v>0</v>
      </c>
      <c r="I2059" s="1">
        <f>'[1]Electricity and CHPs_NCAP'!E$23</f>
        <v>0</v>
      </c>
      <c r="J2059" s="1">
        <f>'[1]Electricity and CHPs_NCAP'!F$23</f>
        <v>0</v>
      </c>
      <c r="K2059" s="1">
        <f>'[1]Electricity and CHPs_NCAP'!G$23</f>
        <v>0</v>
      </c>
    </row>
    <row r="2060" spans="2:11" x14ac:dyDescent="0.35">
      <c r="B2060" s="5" t="str">
        <f t="shared" si="1296"/>
        <v>SPS2</v>
      </c>
      <c r="C2060" s="5" t="str">
        <f t="shared" si="1293"/>
        <v>CH</v>
      </c>
      <c r="D2060" t="s">
        <v>2212</v>
      </c>
      <c r="E2060" t="str">
        <f t="shared" si="1294"/>
        <v>GWe/yr.</v>
      </c>
      <c r="F2060" s="1">
        <f>'[1]Electricity and CHPs_NCAP'!B$24</f>
        <v>0</v>
      </c>
      <c r="G2060" s="1">
        <f>'[1]Electricity and CHPs_NCAP'!C$24</f>
        <v>4.0704823790927599E-7</v>
      </c>
      <c r="H2060" s="1">
        <f>'[1]Electricity and CHPs_NCAP'!D$24</f>
        <v>0</v>
      </c>
      <c r="I2060" s="1">
        <f>'[1]Electricity and CHPs_NCAP'!E$24</f>
        <v>0</v>
      </c>
      <c r="J2060" s="1">
        <f>'[1]Electricity and CHPs_NCAP'!F$24</f>
        <v>0</v>
      </c>
      <c r="K2060" s="1">
        <f>'[1]Electricity and CHPs_NCAP'!G$24</f>
        <v>0</v>
      </c>
    </row>
    <row r="2061" spans="2:11" x14ac:dyDescent="0.35">
      <c r="B2061" s="5" t="str">
        <f t="shared" si="1296"/>
        <v>SPS2</v>
      </c>
      <c r="C2061" s="5" t="str">
        <f t="shared" si="1293"/>
        <v>CH</v>
      </c>
      <c r="D2061" t="s">
        <v>2213</v>
      </c>
      <c r="E2061" t="str">
        <f t="shared" si="1294"/>
        <v>GWe/yr.</v>
      </c>
      <c r="F2061" s="1">
        <f>'[1]Electricity and CHPs_NCAP'!B$29</f>
        <v>0</v>
      </c>
      <c r="G2061" s="1">
        <f>'[1]Electricity and CHPs_NCAP'!C$29</f>
        <v>0</v>
      </c>
      <c r="H2061" s="1">
        <f>'[1]Electricity and CHPs_NCAP'!D$29</f>
        <v>0</v>
      </c>
      <c r="I2061" s="1">
        <f>'[1]Electricity and CHPs_NCAP'!E$29</f>
        <v>0</v>
      </c>
      <c r="J2061" s="1">
        <f>'[1]Electricity and CHPs_NCAP'!F$29</f>
        <v>0</v>
      </c>
      <c r="K2061" s="1">
        <f>'[1]Electricity and CHPs_NCAP'!G$29</f>
        <v>0</v>
      </c>
    </row>
    <row r="2062" spans="2:11" x14ac:dyDescent="0.35">
      <c r="B2062" s="5" t="str">
        <f t="shared" si="1296"/>
        <v>SPS2</v>
      </c>
      <c r="C2062" s="5" t="str">
        <f t="shared" si="1293"/>
        <v>CH</v>
      </c>
      <c r="D2062" t="s">
        <v>2214</v>
      </c>
      <c r="E2062" t="str">
        <f t="shared" si="1294"/>
        <v>GWe/yr.</v>
      </c>
      <c r="F2062" s="1">
        <f>'[1]Electricity and CHPs_NCAP'!B$39</f>
        <v>0</v>
      </c>
      <c r="G2062" s="1">
        <f>'[1]Electricity and CHPs_NCAP'!C$39</f>
        <v>1.3884539888651699E-6</v>
      </c>
      <c r="H2062" s="1">
        <f>'[1]Electricity and CHPs_NCAP'!D$39</f>
        <v>1.17504599350788E-4</v>
      </c>
      <c r="I2062" s="1">
        <f>'[1]Electricity and CHPs_NCAP'!E$39</f>
        <v>2.0142925321751399E-3</v>
      </c>
      <c r="J2062" s="1">
        <f>'[1]Electricity and CHPs_NCAP'!F$39</f>
        <v>6.2664265183512896E-2</v>
      </c>
      <c r="K2062" s="1">
        <f>'[1]Electricity and CHPs_NCAP'!G$39</f>
        <v>9.8834450190654621E-6</v>
      </c>
    </row>
    <row r="2063" spans="2:11" x14ac:dyDescent="0.35">
      <c r="B2063" s="5" t="str">
        <f t="shared" si="1296"/>
        <v>SPS2</v>
      </c>
      <c r="C2063" s="5" t="str">
        <f t="shared" si="1293"/>
        <v>CH</v>
      </c>
      <c r="D2063" t="s">
        <v>2215</v>
      </c>
      <c r="E2063" t="str">
        <f t="shared" si="1294"/>
        <v>GWe/yr.</v>
      </c>
      <c r="F2063" s="1">
        <f>'[1]Electricity and CHPs_NCAP'!B$40</f>
        <v>0</v>
      </c>
      <c r="G2063" s="1">
        <f>'[1]Electricity and CHPs_NCAP'!C$40</f>
        <v>0</v>
      </c>
      <c r="H2063" s="1">
        <f>'[1]Electricity and CHPs_NCAP'!D$40</f>
        <v>0</v>
      </c>
      <c r="I2063" s="1">
        <f>'[1]Electricity and CHPs_NCAP'!E$40</f>
        <v>0</v>
      </c>
      <c r="J2063" s="1">
        <f>'[1]Electricity and CHPs_NCAP'!F$40</f>
        <v>5.8837669723778904E-4</v>
      </c>
      <c r="K2063" s="1">
        <f>'[1]Electricity and CHPs_NCAP'!G$40</f>
        <v>3.6301605021741297E-2</v>
      </c>
    </row>
    <row r="2064" spans="2:11" x14ac:dyDescent="0.35">
      <c r="B2064" s="5" t="str">
        <f t="shared" si="1296"/>
        <v>SPS2</v>
      </c>
      <c r="C2064" s="5" t="str">
        <f t="shared" si="1293"/>
        <v>CH</v>
      </c>
      <c r="D2064" t="s">
        <v>2216</v>
      </c>
      <c r="E2064" t="str">
        <f t="shared" si="1294"/>
        <v>GWe/yr.</v>
      </c>
      <c r="F2064" s="1">
        <f>'[1]Electricity and CHPs_NCAP'!B$47</f>
        <v>0</v>
      </c>
      <c r="G2064" s="1">
        <f>'[1]Electricity and CHPs_NCAP'!C$47</f>
        <v>0</v>
      </c>
      <c r="H2064" s="1">
        <f>'[1]Electricity and CHPs_NCAP'!D$47</f>
        <v>0</v>
      </c>
      <c r="I2064" s="1">
        <f>'[1]Electricity and CHPs_NCAP'!E$47</f>
        <v>0</v>
      </c>
      <c r="J2064" s="1">
        <f>'[1]Electricity and CHPs_NCAP'!F$47</f>
        <v>8.8548680013217793E-5</v>
      </c>
      <c r="K2064" s="1">
        <f>'[1]Electricity and CHPs_NCAP'!G$47</f>
        <v>4.4603814256087901E-6</v>
      </c>
    </row>
    <row r="2065" spans="2:11" x14ac:dyDescent="0.35">
      <c r="B2065" s="5" t="str">
        <f t="shared" si="1296"/>
        <v>SPS2</v>
      </c>
      <c r="C2065" s="5" t="str">
        <f t="shared" si="1293"/>
        <v>CH</v>
      </c>
      <c r="D2065" t="s">
        <v>2217</v>
      </c>
      <c r="E2065" t="str">
        <f t="shared" si="1294"/>
        <v>GWe/yr.</v>
      </c>
      <c r="F2065" s="1">
        <f>'[1]Electricity and CHPs_NCAP'!B$48</f>
        <v>0</v>
      </c>
      <c r="G2065" s="1">
        <f>'[1]Electricity and CHPs_NCAP'!C$48</f>
        <v>4.0340210057753022E-4</v>
      </c>
      <c r="H2065" s="1">
        <f>'[1]Electricity and CHPs_NCAP'!D$48</f>
        <v>0</v>
      </c>
      <c r="I2065" s="1">
        <f>'[1]Electricity and CHPs_NCAP'!E$48</f>
        <v>0</v>
      </c>
      <c r="J2065" s="1">
        <f>'[1]Electricity and CHPs_NCAP'!F$48</f>
        <v>0</v>
      </c>
      <c r="K2065" s="1">
        <f>'[1]Electricity and CHPs_NCAP'!G$48</f>
        <v>0</v>
      </c>
    </row>
    <row r="2066" spans="2:11" x14ac:dyDescent="0.35">
      <c r="B2066" s="5" t="str">
        <f t="shared" si="1296"/>
        <v>SPS2</v>
      </c>
      <c r="C2066" s="5" t="str">
        <f t="shared" si="1293"/>
        <v>CH</v>
      </c>
      <c r="D2066" t="s">
        <v>2218</v>
      </c>
      <c r="E2066" t="str">
        <f t="shared" si="1294"/>
        <v>GWe/yr.</v>
      </c>
      <c r="F2066" s="1">
        <f>'[1]Electricity and CHPs_NCAP'!B$49</f>
        <v>0</v>
      </c>
      <c r="G2066" s="1">
        <f>'[1]Electricity and CHPs_NCAP'!C$49</f>
        <v>0</v>
      </c>
      <c r="H2066" s="1">
        <f>'[1]Electricity and CHPs_NCAP'!D$49</f>
        <v>0</v>
      </c>
      <c r="I2066" s="1">
        <f>'[1]Electricity and CHPs_NCAP'!E$49</f>
        <v>0</v>
      </c>
      <c r="J2066" s="1">
        <f>'[1]Electricity and CHPs_NCAP'!F$49</f>
        <v>0</v>
      </c>
      <c r="K2066" s="1">
        <f>'[1]Electricity and CHPs_NCAP'!G$49</f>
        <v>0</v>
      </c>
    </row>
    <row r="2067" spans="2:11" x14ac:dyDescent="0.35">
      <c r="B2067" s="5" t="str">
        <f t="shared" si="1296"/>
        <v>SPS2</v>
      </c>
      <c r="C2067" s="5" t="str">
        <f t="shared" si="1293"/>
        <v>CH</v>
      </c>
      <c r="D2067" t="s">
        <v>2219</v>
      </c>
      <c r="E2067" t="str">
        <f t="shared" si="1294"/>
        <v>GWe/yr.</v>
      </c>
      <c r="F2067" s="1">
        <f>'[1]Electricity and CHPs_NCAP'!B$51</f>
        <v>0</v>
      </c>
      <c r="G2067" s="1">
        <f>'[1]Electricity and CHPs_NCAP'!C$51</f>
        <v>7.2371856517344422E-4</v>
      </c>
      <c r="H2067" s="1">
        <f>'[1]Electricity and CHPs_NCAP'!D$51</f>
        <v>0</v>
      </c>
      <c r="I2067" s="1">
        <f>'[1]Electricity and CHPs_NCAP'!E$51</f>
        <v>0</v>
      </c>
      <c r="J2067" s="1">
        <f>'[1]Electricity and CHPs_NCAP'!F$51</f>
        <v>0</v>
      </c>
      <c r="K2067" s="1">
        <f>'[1]Electricity and CHPs_NCAP'!G$51</f>
        <v>0</v>
      </c>
    </row>
    <row r="2068" spans="2:11" x14ac:dyDescent="0.35">
      <c r="B2068" s="5" t="str">
        <f t="shared" si="1296"/>
        <v>SPS2</v>
      </c>
      <c r="C2068" s="5" t="str">
        <f t="shared" si="1293"/>
        <v>CH</v>
      </c>
      <c r="D2068" t="s">
        <v>2220</v>
      </c>
      <c r="E2068" t="str">
        <f t="shared" si="1294"/>
        <v>GWe/yr.</v>
      </c>
      <c r="F2068" s="1">
        <f>'[1]Electricity and CHPs_NCAP'!B$52</f>
        <v>0</v>
      </c>
      <c r="G2068" s="1">
        <f>'[1]Electricity and CHPs_NCAP'!C$52</f>
        <v>0</v>
      </c>
      <c r="H2068" s="1">
        <f>'[1]Electricity and CHPs_NCAP'!D$52</f>
        <v>0</v>
      </c>
      <c r="I2068" s="1">
        <f>'[1]Electricity and CHPs_NCAP'!E$52</f>
        <v>0</v>
      </c>
      <c r="J2068" s="1">
        <f>'[1]Electricity and CHPs_NCAP'!F$52</f>
        <v>0</v>
      </c>
      <c r="K2068" s="1">
        <f>'[1]Electricity and CHPs_NCAP'!G$52</f>
        <v>0</v>
      </c>
    </row>
    <row r="2069" spans="2:11" x14ac:dyDescent="0.35">
      <c r="B2069" s="5" t="str">
        <f t="shared" si="1296"/>
        <v>SPS2</v>
      </c>
      <c r="C2069" s="5" t="str">
        <f t="shared" si="1293"/>
        <v>CH</v>
      </c>
      <c r="D2069" t="s">
        <v>2221</v>
      </c>
      <c r="E2069" t="str">
        <f t="shared" si="1294"/>
        <v>GWe/yr.</v>
      </c>
      <c r="F2069" s="1">
        <f>'[1]Electricity and CHPs_NCAP'!B$54</f>
        <v>0</v>
      </c>
      <c r="G2069" s="1">
        <f>'[1]Electricity and CHPs_NCAP'!C$54</f>
        <v>2.6200143869071699E-2</v>
      </c>
      <c r="H2069" s="1">
        <f>'[1]Electricity and CHPs_NCAP'!D$54</f>
        <v>6.5710843749053798E-3</v>
      </c>
      <c r="I2069" s="1">
        <f>'[1]Electricity and CHPs_NCAP'!E$54</f>
        <v>1.22443893067879E-2</v>
      </c>
      <c r="J2069" s="1">
        <f>'[1]Electricity and CHPs_NCAP'!F$54</f>
        <v>9.1093336318096699E-2</v>
      </c>
      <c r="K2069" s="1">
        <f>'[1]Electricity and CHPs_NCAP'!G$54</f>
        <v>7.8555601205529499E-6</v>
      </c>
    </row>
    <row r="2070" spans="2:11" x14ac:dyDescent="0.35">
      <c r="B2070" s="5" t="str">
        <f t="shared" si="1296"/>
        <v>SPS2</v>
      </c>
      <c r="C2070" s="5" t="str">
        <f t="shared" si="1293"/>
        <v>CH</v>
      </c>
      <c r="D2070" t="s">
        <v>2222</v>
      </c>
      <c r="E2070" t="str">
        <f t="shared" si="1294"/>
        <v>GWe/yr.</v>
      </c>
      <c r="F2070" s="1">
        <f>'[1]Electricity and CHPs_NCAP'!B$55</f>
        <v>0</v>
      </c>
      <c r="G2070" s="1">
        <f>'[1]Electricity and CHPs_NCAP'!C$55</f>
        <v>2.71734149078895E-2</v>
      </c>
      <c r="H2070" s="1">
        <f>'[1]Electricity and CHPs_NCAP'!D$55</f>
        <v>0</v>
      </c>
      <c r="I2070" s="1">
        <f>'[1]Electricity and CHPs_NCAP'!E$55</f>
        <v>0</v>
      </c>
      <c r="J2070" s="1">
        <f>'[1]Electricity and CHPs_NCAP'!F$55</f>
        <v>0</v>
      </c>
      <c r="K2070" s="1">
        <f>'[1]Electricity and CHPs_NCAP'!G$55</f>
        <v>0</v>
      </c>
    </row>
    <row r="2071" spans="2:11" x14ac:dyDescent="0.35">
      <c r="B2071" s="5" t="str">
        <f t="shared" si="1296"/>
        <v>SPS2</v>
      </c>
      <c r="C2071" s="5" t="str">
        <f t="shared" si="1293"/>
        <v>CH</v>
      </c>
      <c r="D2071" t="s">
        <v>2223</v>
      </c>
      <c r="E2071" t="str">
        <f t="shared" si="1294"/>
        <v>GWe/yr.</v>
      </c>
      <c r="F2071" s="1">
        <f>'[1]Electricity and CHPs_NCAP'!B$58</f>
        <v>0</v>
      </c>
      <c r="G2071" s="1">
        <f>'[1]Electricity and CHPs_NCAP'!C$58</f>
        <v>0</v>
      </c>
      <c r="H2071" s="1">
        <f>'[1]Electricity and CHPs_NCAP'!D$58</f>
        <v>0</v>
      </c>
      <c r="I2071" s="1">
        <f>'[1]Electricity and CHPs_NCAP'!E$58</f>
        <v>0</v>
      </c>
      <c r="J2071" s="1">
        <f>'[1]Electricity and CHPs_NCAP'!F$58</f>
        <v>0</v>
      </c>
      <c r="K2071" s="1">
        <f>'[1]Electricity and CHPs_NCAP'!G$58</f>
        <v>0</v>
      </c>
    </row>
    <row r="2072" spans="2:11" x14ac:dyDescent="0.35">
      <c r="B2072" s="5" t="str">
        <f t="shared" si="1296"/>
        <v>SPS2</v>
      </c>
      <c r="C2072" s="5" t="str">
        <f t="shared" si="1293"/>
        <v>CH</v>
      </c>
      <c r="D2072" t="s">
        <v>2224</v>
      </c>
      <c r="E2072" t="str">
        <f t="shared" si="1294"/>
        <v>GWe/yr.</v>
      </c>
      <c r="F2072" s="1">
        <f t="shared" ref="F2072:K2072" si="1300">SUM(F2073:F2078)</f>
        <v>0</v>
      </c>
      <c r="G2072" s="1">
        <f t="shared" si="1300"/>
        <v>1.8443471140508121E-6</v>
      </c>
      <c r="H2072" s="1">
        <f t="shared" si="1300"/>
        <v>3.0816005306112726E-6</v>
      </c>
      <c r="I2072" s="1">
        <f t="shared" si="1300"/>
        <v>8.3063069138557863E-2</v>
      </c>
      <c r="J2072" s="1">
        <f t="shared" si="1300"/>
        <v>0.15373665125486236</v>
      </c>
      <c r="K2072" s="1">
        <f t="shared" si="1300"/>
        <v>0.19241513548127218</v>
      </c>
    </row>
    <row r="2073" spans="2:11" x14ac:dyDescent="0.35">
      <c r="B2073" s="5" t="str">
        <f t="shared" si="1296"/>
        <v>SPS2</v>
      </c>
      <c r="C2073" s="5" t="str">
        <f t="shared" si="1293"/>
        <v>CH</v>
      </c>
      <c r="D2073" t="s">
        <v>2225</v>
      </c>
      <c r="E2073" t="str">
        <f t="shared" si="1294"/>
        <v>GWe/yr.</v>
      </c>
      <c r="F2073" s="1">
        <f>'[1]Electricity and CHPs_NCAP'!B$19</f>
        <v>0</v>
      </c>
      <c r="G2073" s="1">
        <f>'[1]Electricity and CHPs_NCAP'!C$19</f>
        <v>4.2607882235710801E-7</v>
      </c>
      <c r="H2073" s="1">
        <f>'[1]Electricity and CHPs_NCAP'!D$19</f>
        <v>9.5895215083301594E-7</v>
      </c>
      <c r="I2073" s="1">
        <f>'[1]Electricity and CHPs_NCAP'!E$19</f>
        <v>7.9675770340114499E-2</v>
      </c>
      <c r="J2073" s="1">
        <f>'[1]Electricity and CHPs_NCAP'!F$19</f>
        <v>1.4777115256348301E-2</v>
      </c>
      <c r="K2073" s="1">
        <f>'[1]Electricity and CHPs_NCAP'!G$19</f>
        <v>3.51918953090463E-3</v>
      </c>
    </row>
    <row r="2074" spans="2:11" x14ac:dyDescent="0.35">
      <c r="B2074" s="5" t="str">
        <f t="shared" si="1296"/>
        <v>SPS2</v>
      </c>
      <c r="C2074" s="5" t="str">
        <f t="shared" si="1293"/>
        <v>CH</v>
      </c>
      <c r="D2074" t="s">
        <v>2226</v>
      </c>
      <c r="E2074" t="str">
        <f t="shared" si="1294"/>
        <v>GWe/yr.</v>
      </c>
      <c r="F2074" s="1">
        <f>'[1]Electricity and CHPs_NCAP'!B$20</f>
        <v>0</v>
      </c>
      <c r="G2074" s="1">
        <f>'[1]Electricity and CHPs_NCAP'!C$20</f>
        <v>0</v>
      </c>
      <c r="H2074" s="1">
        <f>'[1]Electricity and CHPs_NCAP'!D$20</f>
        <v>0</v>
      </c>
      <c r="I2074" s="1">
        <f>'[1]Electricity and CHPs_NCAP'!E$20</f>
        <v>0</v>
      </c>
      <c r="J2074" s="1">
        <f>'[1]Electricity and CHPs_NCAP'!F$20</f>
        <v>9.8629412737821595E-2</v>
      </c>
      <c r="K2074" s="1">
        <f>'[1]Electricity and CHPs_NCAP'!G$20</f>
        <v>8.4014074114606901E-2</v>
      </c>
    </row>
    <row r="2075" spans="2:11" x14ac:dyDescent="0.35">
      <c r="B2075" s="5" t="str">
        <f t="shared" si="1296"/>
        <v>SPS2</v>
      </c>
      <c r="C2075" s="5" t="str">
        <f t="shared" si="1293"/>
        <v>CH</v>
      </c>
      <c r="D2075" t="s">
        <v>2227</v>
      </c>
      <c r="E2075" t="str">
        <f t="shared" si="1294"/>
        <v>GWe/yr.</v>
      </c>
      <c r="F2075" s="1">
        <f>'[1]Electricity and CHPs_NCAP'!B$26</f>
        <v>0</v>
      </c>
      <c r="G2075" s="1">
        <f>'[1]Electricity and CHPs_NCAP'!C$26</f>
        <v>3.8133852260893398E-7</v>
      </c>
      <c r="H2075" s="1">
        <f>'[1]Electricity and CHPs_NCAP'!D$26</f>
        <v>4.5035623116118699E-7</v>
      </c>
      <c r="I2075" s="1">
        <f>'[1]Electricity and CHPs_NCAP'!E$26</f>
        <v>9.2539405337890802E-4</v>
      </c>
      <c r="J2075" s="1">
        <f>'[1]Electricity and CHPs_NCAP'!F$26</f>
        <v>8.6873542610045301E-3</v>
      </c>
      <c r="K2075" s="1">
        <f>'[1]Electricity and CHPs_NCAP'!G$26</f>
        <v>2.17877093640346E-2</v>
      </c>
    </row>
    <row r="2076" spans="2:11" x14ac:dyDescent="0.35">
      <c r="B2076" s="5" t="str">
        <f t="shared" si="1296"/>
        <v>SPS2</v>
      </c>
      <c r="C2076" s="5" t="str">
        <f t="shared" si="1293"/>
        <v>CH</v>
      </c>
      <c r="D2076" t="s">
        <v>2228</v>
      </c>
      <c r="E2076" t="str">
        <f t="shared" si="1294"/>
        <v>GWe/yr.</v>
      </c>
      <c r="F2076" s="1">
        <f>'[1]Electricity and CHPs_NCAP'!B$27</f>
        <v>0</v>
      </c>
      <c r="G2076" s="1">
        <f>'[1]Electricity and CHPs_NCAP'!C$27</f>
        <v>0</v>
      </c>
      <c r="H2076" s="1">
        <f>'[1]Electricity and CHPs_NCAP'!D$27</f>
        <v>0</v>
      </c>
      <c r="I2076" s="1">
        <f>'[1]Electricity and CHPs_NCAP'!E$27</f>
        <v>0</v>
      </c>
      <c r="J2076" s="1">
        <f>'[1]Electricity and CHPs_NCAP'!F$27</f>
        <v>2.7134198680859398E-2</v>
      </c>
      <c r="K2076" s="1">
        <f>'[1]Electricity and CHPs_NCAP'!G$27</f>
        <v>2.1716498025585899E-2</v>
      </c>
    </row>
    <row r="2077" spans="2:11" x14ac:dyDescent="0.35">
      <c r="B2077" s="5" t="str">
        <f t="shared" si="1296"/>
        <v>SPS2</v>
      </c>
      <c r="C2077" s="5" t="str">
        <f t="shared" si="1293"/>
        <v>CH</v>
      </c>
      <c r="D2077" t="s">
        <v>2229</v>
      </c>
      <c r="E2077" t="str">
        <f t="shared" si="1294"/>
        <v>GWe/yr.</v>
      </c>
      <c r="F2077" s="1">
        <f>'[1]Electricity and CHPs_NCAP'!B$44</f>
        <v>0</v>
      </c>
      <c r="G2077" s="1">
        <f>'[1]Electricity and CHPs_NCAP'!C$44</f>
        <v>1.0369297690847701E-6</v>
      </c>
      <c r="H2077" s="1">
        <f>'[1]Electricity and CHPs_NCAP'!D$44</f>
        <v>1.67229214861707E-6</v>
      </c>
      <c r="I2077" s="1">
        <f>'[1]Electricity and CHPs_NCAP'!E$44</f>
        <v>2.4619047450644598E-3</v>
      </c>
      <c r="J2077" s="1">
        <f>'[1]Electricity and CHPs_NCAP'!F$44</f>
        <v>1.50275001750891E-6</v>
      </c>
      <c r="K2077" s="1">
        <f>'[1]Electricity and CHPs_NCAP'!G$44</f>
        <v>1.01212898757871E-7</v>
      </c>
    </row>
    <row r="2078" spans="2:11" x14ac:dyDescent="0.35">
      <c r="B2078" s="5" t="str">
        <f t="shared" si="1296"/>
        <v>SPS2</v>
      </c>
      <c r="C2078" s="5" t="str">
        <f t="shared" si="1293"/>
        <v>CH</v>
      </c>
      <c r="D2078" t="s">
        <v>2230</v>
      </c>
      <c r="E2078" t="str">
        <f t="shared" si="1294"/>
        <v>GWe/yr.</v>
      </c>
      <c r="F2078" s="1">
        <f>'[1]Electricity and CHPs_NCAP'!B$45</f>
        <v>0</v>
      </c>
      <c r="G2078" s="1">
        <f>'[1]Electricity and CHPs_NCAP'!C$45</f>
        <v>0</v>
      </c>
      <c r="H2078" s="1">
        <f>'[1]Electricity and CHPs_NCAP'!D$45</f>
        <v>0</v>
      </c>
      <c r="I2078" s="1">
        <f>'[1]Electricity and CHPs_NCAP'!E$45</f>
        <v>0</v>
      </c>
      <c r="J2078" s="1">
        <f>'[1]Electricity and CHPs_NCAP'!F$45</f>
        <v>4.50706756881102E-3</v>
      </c>
      <c r="K2078" s="1">
        <f>'[1]Electricity and CHPs_NCAP'!G$45</f>
        <v>6.1377563233241401E-2</v>
      </c>
    </row>
    <row r="2079" spans="2:11" x14ac:dyDescent="0.35">
      <c r="B2079" s="5" t="str">
        <f t="shared" si="1296"/>
        <v>SPS2</v>
      </c>
      <c r="C2079" s="5" t="str">
        <f t="shared" si="1293"/>
        <v>CH</v>
      </c>
      <c r="D2079" t="s">
        <v>2231</v>
      </c>
      <c r="E2079" t="str">
        <f t="shared" si="1294"/>
        <v>GWe/yr.</v>
      </c>
      <c r="F2079" s="1">
        <f t="shared" ref="F2079:K2079" si="1301">SUM(F2080:F2086)</f>
        <v>0</v>
      </c>
      <c r="G2079" s="1">
        <f t="shared" si="1301"/>
        <v>1.7261061334985735E-2</v>
      </c>
      <c r="H2079" s="1">
        <f t="shared" si="1301"/>
        <v>2.2624991106075812E-2</v>
      </c>
      <c r="I2079" s="1">
        <f t="shared" si="1301"/>
        <v>2.3802917881226328E-2</v>
      </c>
      <c r="J2079" s="1">
        <f t="shared" si="1301"/>
        <v>0.1490146842878482</v>
      </c>
      <c r="K2079" s="1">
        <f t="shared" si="1301"/>
        <v>0.13918341426829403</v>
      </c>
    </row>
    <row r="2080" spans="2:11" x14ac:dyDescent="0.35">
      <c r="B2080" s="5" t="str">
        <f t="shared" si="1296"/>
        <v>SPS2</v>
      </c>
      <c r="C2080" s="5" t="str">
        <f t="shared" si="1293"/>
        <v>CH</v>
      </c>
      <c r="D2080" t="s">
        <v>2232</v>
      </c>
      <c r="E2080" t="str">
        <f t="shared" si="1294"/>
        <v>GWe/yr.</v>
      </c>
      <c r="F2080" s="1">
        <f>'[1]Electricity and CHPs_NCAP'!B$25</f>
        <v>0</v>
      </c>
      <c r="G2080" s="1">
        <f>'[1]Electricity and CHPs_NCAP'!C$25</f>
        <v>3.8424414703471598E-7</v>
      </c>
      <c r="H2080" s="1">
        <f>'[1]Electricity and CHPs_NCAP'!D$25</f>
        <v>6.4468130691910195E-5</v>
      </c>
      <c r="I2080" s="1">
        <f>'[1]Electricity and CHPs_NCAP'!E$25</f>
        <v>1.41580091704804E-5</v>
      </c>
      <c r="J2080" s="1">
        <f>'[1]Electricity and CHPs_NCAP'!F$25</f>
        <v>4.94661433682487E-2</v>
      </c>
      <c r="K2080" s="1">
        <f>'[1]Electricity and CHPs_NCAP'!G$25</f>
        <v>4.0806212028831899E-5</v>
      </c>
    </row>
    <row r="2081" spans="2:11" x14ac:dyDescent="0.35">
      <c r="B2081" s="5" t="str">
        <f t="shared" si="1296"/>
        <v>SPS2</v>
      </c>
      <c r="C2081" s="5" t="str">
        <f t="shared" si="1293"/>
        <v>CH</v>
      </c>
      <c r="D2081" t="s">
        <v>2233</v>
      </c>
      <c r="E2081" t="str">
        <f t="shared" si="1294"/>
        <v>GWe/yr.</v>
      </c>
      <c r="F2081" s="1">
        <f>'[1]Electricity and CHPs_NCAP'!B$31</f>
        <v>0</v>
      </c>
      <c r="G2081" s="1">
        <f>'[1]Electricity and CHPs_NCAP'!C$31</f>
        <v>0</v>
      </c>
      <c r="H2081" s="1">
        <f>'[1]Electricity and CHPs_NCAP'!D$31</f>
        <v>0</v>
      </c>
      <c r="I2081" s="1">
        <f>'[1]Electricity and CHPs_NCAP'!E$31</f>
        <v>0</v>
      </c>
      <c r="J2081" s="1">
        <f>'[1]Electricity and CHPs_NCAP'!F$31</f>
        <v>3.5293368091277098E-4</v>
      </c>
      <c r="K2081" s="1">
        <f>'[1]Electricity and CHPs_NCAP'!G$31</f>
        <v>2.8952781218123901E-2</v>
      </c>
    </row>
    <row r="2082" spans="2:11" x14ac:dyDescent="0.35">
      <c r="B2082" s="5" t="str">
        <f t="shared" si="1296"/>
        <v>SPS2</v>
      </c>
      <c r="C2082" s="5" t="str">
        <f t="shared" si="1293"/>
        <v>CH</v>
      </c>
      <c r="D2082" t="s">
        <v>2234</v>
      </c>
      <c r="E2082" t="str">
        <f t="shared" si="1294"/>
        <v>GWe/yr.</v>
      </c>
      <c r="F2082" s="1">
        <f>'[1]Electricity and CHPs_NCAP'!B$42</f>
        <v>0</v>
      </c>
      <c r="G2082" s="1">
        <f>'[1]Electricity and CHPs_NCAP'!C$42</f>
        <v>1.72606770908387E-2</v>
      </c>
      <c r="H2082" s="1">
        <f>'[1]Electricity and CHPs_NCAP'!D$42</f>
        <v>2.2560522975383902E-2</v>
      </c>
      <c r="I2082" s="1">
        <f>'[1]Electricity and CHPs_NCAP'!E$42</f>
        <v>2.2990806325588701E-2</v>
      </c>
      <c r="J2082" s="1">
        <f>'[1]Electricity and CHPs_NCAP'!F$42</f>
        <v>1.77129538798631E-5</v>
      </c>
      <c r="K2082" s="1">
        <f>'[1]Electricity and CHPs_NCAP'!G$42</f>
        <v>7.0213976015243203E-3</v>
      </c>
    </row>
    <row r="2083" spans="2:11" x14ac:dyDescent="0.35">
      <c r="B2083" s="5" t="str">
        <f t="shared" si="1296"/>
        <v>SPS2</v>
      </c>
      <c r="C2083" s="5" t="str">
        <f t="shared" si="1293"/>
        <v>CH</v>
      </c>
      <c r="D2083" t="s">
        <v>2235</v>
      </c>
      <c r="E2083" t="str">
        <f t="shared" si="1294"/>
        <v>GWe/yr.</v>
      </c>
      <c r="F2083" s="1">
        <f>'[1]Electricity and CHPs_NCAP'!B$43</f>
        <v>0</v>
      </c>
      <c r="G2083" s="1">
        <f>'[1]Electricity and CHPs_NCAP'!C$43</f>
        <v>0</v>
      </c>
      <c r="H2083" s="1">
        <f>'[1]Electricity and CHPs_NCAP'!D$43</f>
        <v>0</v>
      </c>
      <c r="I2083" s="1">
        <f>'[1]Electricity and CHPs_NCAP'!E$43</f>
        <v>0</v>
      </c>
      <c r="J2083" s="1">
        <f>'[1]Electricity and CHPs_NCAP'!F$43</f>
        <v>9.3917497592637997E-2</v>
      </c>
      <c r="K2083" s="1">
        <f>'[1]Electricity and CHPs_NCAP'!G$43</f>
        <v>0.103088585852275</v>
      </c>
    </row>
    <row r="2084" spans="2:11" x14ac:dyDescent="0.35">
      <c r="B2084" s="5" t="str">
        <f t="shared" si="1296"/>
        <v>SPS2</v>
      </c>
      <c r="C2084" s="5" t="str">
        <f t="shared" si="1293"/>
        <v>CH</v>
      </c>
      <c r="D2084" t="s">
        <v>2236</v>
      </c>
      <c r="E2084" t="str">
        <f t="shared" si="1294"/>
        <v>GWe/yr.</v>
      </c>
      <c r="F2084" s="1">
        <f>'[1]Electricity and CHPs_NCAP'!B$50</f>
        <v>0</v>
      </c>
      <c r="G2084" s="1">
        <f>'[1]Electricity and CHPs_NCAP'!C$50</f>
        <v>0</v>
      </c>
      <c r="H2084" s="1">
        <f>'[1]Electricity and CHPs_NCAP'!D$50</f>
        <v>0</v>
      </c>
      <c r="I2084" s="1">
        <f>'[1]Electricity and CHPs_NCAP'!E$50</f>
        <v>2.3540209900740401E-4</v>
      </c>
      <c r="J2084" s="1">
        <f>'[1]Electricity and CHPs_NCAP'!F$50</f>
        <v>2.3679451643092479E-4</v>
      </c>
      <c r="K2084" s="1">
        <f>'[1]Electricity and CHPs_NCAP'!G$50</f>
        <v>5.3605228553366797E-6</v>
      </c>
    </row>
    <row r="2085" spans="2:11" x14ac:dyDescent="0.35">
      <c r="B2085" s="5" t="str">
        <f t="shared" si="1296"/>
        <v>SPS2</v>
      </c>
      <c r="C2085" s="5" t="str">
        <f t="shared" si="1293"/>
        <v>CH</v>
      </c>
      <c r="D2085" t="s">
        <v>2237</v>
      </c>
      <c r="E2085" t="str">
        <f t="shared" si="1294"/>
        <v>GWe/yr.</v>
      </c>
      <c r="F2085" s="1">
        <f>'[1]Electricity and CHPs_NCAP'!B$53</f>
        <v>0</v>
      </c>
      <c r="G2085" s="1">
        <f>'[1]Electricity and CHPs_NCAP'!C$53</f>
        <v>0</v>
      </c>
      <c r="H2085" s="1">
        <f>'[1]Electricity and CHPs_NCAP'!D$53</f>
        <v>0</v>
      </c>
      <c r="I2085" s="1">
        <f>'[1]Electricity and CHPs_NCAP'!E$53</f>
        <v>3.9477437322836203E-4</v>
      </c>
      <c r="J2085" s="1">
        <f>'[1]Electricity and CHPs_NCAP'!F$53</f>
        <v>4.9005385892710298E-3</v>
      </c>
      <c r="K2085" s="1">
        <f>'[1]Electricity and CHPs_NCAP'!G$53</f>
        <v>1.5663281516855761E-6</v>
      </c>
    </row>
    <row r="2086" spans="2:11" x14ac:dyDescent="0.35">
      <c r="B2086" s="5" t="str">
        <f t="shared" si="1296"/>
        <v>SPS2</v>
      </c>
      <c r="C2086" s="5" t="str">
        <f t="shared" si="1293"/>
        <v>CH</v>
      </c>
      <c r="D2086" t="s">
        <v>2238</v>
      </c>
      <c r="E2086" t="str">
        <f t="shared" si="1294"/>
        <v>GWe/yr.</v>
      </c>
      <c r="F2086" s="1">
        <f>'[1]Electricity and CHPs_NCAP'!B$56</f>
        <v>0</v>
      </c>
      <c r="G2086" s="1">
        <f>'[1]Electricity and CHPs_NCAP'!C$56</f>
        <v>0</v>
      </c>
      <c r="H2086" s="1">
        <f>'[1]Electricity and CHPs_NCAP'!D$56</f>
        <v>0</v>
      </c>
      <c r="I2086" s="1">
        <f>'[1]Electricity and CHPs_NCAP'!E$56</f>
        <v>1.6777707423138E-4</v>
      </c>
      <c r="J2086" s="1">
        <f>'[1]Electricity and CHPs_NCAP'!F$56</f>
        <v>1.2306358646689699E-4</v>
      </c>
      <c r="K2086" s="1">
        <f>'[1]Electricity and CHPs_NCAP'!G$56</f>
        <v>7.2916533334975594E-5</v>
      </c>
    </row>
    <row r="2087" spans="2:11" x14ac:dyDescent="0.35">
      <c r="B2087" s="5" t="str">
        <f t="shared" si="1296"/>
        <v>SPS2</v>
      </c>
      <c r="C2087" s="5" t="str">
        <f t="shared" si="1293"/>
        <v>CH</v>
      </c>
      <c r="D2087" t="s">
        <v>2239</v>
      </c>
      <c r="E2087" t="str">
        <f t="shared" si="1294"/>
        <v>GWe/yr.</v>
      </c>
      <c r="F2087" s="1">
        <f t="shared" ref="F2087:K2087" si="1302">F2088</f>
        <v>0</v>
      </c>
      <c r="G2087" s="1">
        <f t="shared" si="1302"/>
        <v>7.1329226179074499E-3</v>
      </c>
      <c r="H2087" s="1">
        <f t="shared" si="1302"/>
        <v>0.29200621561575801</v>
      </c>
      <c r="I2087" s="1">
        <f t="shared" si="1302"/>
        <v>0.28589085776586098</v>
      </c>
      <c r="J2087" s="1">
        <f t="shared" si="1302"/>
        <v>1.4406796488942399E-5</v>
      </c>
      <c r="K2087" s="1">
        <f t="shared" si="1302"/>
        <v>5.8890511640983396</v>
      </c>
    </row>
    <row r="2088" spans="2:11" x14ac:dyDescent="0.35">
      <c r="B2088" s="5" t="str">
        <f t="shared" si="1296"/>
        <v>SPS2</v>
      </c>
      <c r="C2088" s="5" t="str">
        <f t="shared" si="1293"/>
        <v>CH</v>
      </c>
      <c r="D2088" t="s">
        <v>2240</v>
      </c>
      <c r="E2088" t="str">
        <f t="shared" si="1294"/>
        <v>GWe/yr.</v>
      </c>
      <c r="F2088" s="1">
        <f>'[1]Electricity and CHPs_NCAP'!B$33</f>
        <v>0</v>
      </c>
      <c r="G2088" s="1">
        <f>'[1]Electricity and CHPs_NCAP'!C$33</f>
        <v>7.1329226179074499E-3</v>
      </c>
      <c r="H2088" s="1">
        <f>'[1]Electricity and CHPs_NCAP'!D$33</f>
        <v>0.29200621561575801</v>
      </c>
      <c r="I2088" s="1">
        <f>'[1]Electricity and CHPs_NCAP'!E$33</f>
        <v>0.28589085776586098</v>
      </c>
      <c r="J2088" s="1">
        <f>'[1]Electricity and CHPs_NCAP'!F$33</f>
        <v>1.4406796488942399E-5</v>
      </c>
      <c r="K2088" s="1">
        <f>'[1]Electricity and CHPs_NCAP'!G$33</f>
        <v>5.8890511640983396</v>
      </c>
    </row>
    <row r="2089" spans="2:11" x14ac:dyDescent="0.35">
      <c r="B2089" s="5" t="str">
        <f t="shared" si="1296"/>
        <v>SPS2</v>
      </c>
      <c r="C2089" s="5" t="str">
        <f t="shared" si="1293"/>
        <v>CH</v>
      </c>
      <c r="D2089" t="s">
        <v>2241</v>
      </c>
      <c r="E2089" t="str">
        <f t="shared" si="1294"/>
        <v>GWe/yr.</v>
      </c>
      <c r="F2089" s="1">
        <f t="shared" ref="F2089:K2089" si="1303">SUM(F2090:F2094)</f>
        <v>0</v>
      </c>
      <c r="G2089" s="1">
        <f t="shared" si="1303"/>
        <v>1.4000018262482733E-4</v>
      </c>
      <c r="H2089" s="1">
        <f t="shared" si="1303"/>
        <v>4.4479998384270489</v>
      </c>
      <c r="I2089" s="1">
        <f t="shared" si="1303"/>
        <v>8.4153786873850791</v>
      </c>
      <c r="J2089" s="1">
        <f t="shared" si="1303"/>
        <v>8.0116443150139265</v>
      </c>
      <c r="K2089" s="1">
        <f t="shared" si="1303"/>
        <v>18.50146145188176</v>
      </c>
    </row>
    <row r="2090" spans="2:11" x14ac:dyDescent="0.35">
      <c r="B2090" s="5" t="str">
        <f t="shared" si="1296"/>
        <v>SPS2</v>
      </c>
      <c r="C2090" s="5" t="str">
        <f t="shared" si="1293"/>
        <v>CH</v>
      </c>
      <c r="D2090" t="s">
        <v>2242</v>
      </c>
      <c r="E2090" t="str">
        <f t="shared" si="1294"/>
        <v>GWe/yr.</v>
      </c>
      <c r="F2090" s="1">
        <f>'[1]Electricity and CHPs_NCAP'!B$34</f>
        <v>0</v>
      </c>
      <c r="G2090" s="1">
        <f>'[1]Electricity and CHPs_NCAP'!C$34</f>
        <v>0</v>
      </c>
      <c r="H2090" s="1">
        <f>'[1]Electricity and CHPs_NCAP'!D$34</f>
        <v>4.4922649400891003E-2</v>
      </c>
      <c r="I2090" s="1">
        <f>'[1]Electricity and CHPs_NCAP'!E$34</f>
        <v>2.37144714680378E-2</v>
      </c>
      <c r="J2090" s="1">
        <f>'[1]Electricity and CHPs_NCAP'!F$34</f>
        <v>0.17054409931433301</v>
      </c>
      <c r="K2090" s="1">
        <f>'[1]Electricity and CHPs_NCAP'!G$34</f>
        <v>1.3787059156007</v>
      </c>
    </row>
    <row r="2091" spans="2:11" x14ac:dyDescent="0.35">
      <c r="B2091" s="5" t="str">
        <f t="shared" si="1296"/>
        <v>SPS2</v>
      </c>
      <c r="C2091" s="5" t="str">
        <f t="shared" si="1293"/>
        <v>CH</v>
      </c>
      <c r="D2091" t="s">
        <v>2243</v>
      </c>
      <c r="E2091" t="str">
        <f t="shared" si="1294"/>
        <v>GWe/yr.</v>
      </c>
      <c r="F2091" s="1">
        <f>'[1]Electricity and CHPs_NCAP'!B$35</f>
        <v>0</v>
      </c>
      <c r="G2091" s="1">
        <f>'[1]Electricity and CHPs_NCAP'!C$35</f>
        <v>6.8629576705329203E-7</v>
      </c>
      <c r="H2091" s="1">
        <f>'[1]Electricity and CHPs_NCAP'!D$35</f>
        <v>1.76796293626108</v>
      </c>
      <c r="I2091" s="1">
        <f>'[1]Electricity and CHPs_NCAP'!E$35</f>
        <v>2.1224210838811501</v>
      </c>
      <c r="J2091" s="1">
        <f>'[1]Electricity and CHPs_NCAP'!F$35</f>
        <v>3.7926827785501902</v>
      </c>
      <c r="K2091" s="1">
        <f>'[1]Electricity and CHPs_NCAP'!G$35</f>
        <v>8.7804263198247607</v>
      </c>
    </row>
    <row r="2092" spans="2:11" x14ac:dyDescent="0.35">
      <c r="B2092" s="5" t="str">
        <f t="shared" si="1296"/>
        <v>SPS2</v>
      </c>
      <c r="C2092" s="5" t="str">
        <f t="shared" si="1293"/>
        <v>CH</v>
      </c>
      <c r="D2092" t="s">
        <v>2244</v>
      </c>
      <c r="E2092" t="str">
        <f t="shared" si="1294"/>
        <v>GWe/yr.</v>
      </c>
      <c r="F2092" s="1">
        <f>'[1]Electricity and CHPs_NCAP'!B$36</f>
        <v>0</v>
      </c>
      <c r="G2092" s="1">
        <f>'[1]Electricity and CHPs_NCAP'!C$36</f>
        <v>6.0734648402480388E-5</v>
      </c>
      <c r="H2092" s="1">
        <f>'[1]Electricity and CHPs_NCAP'!D$36</f>
        <v>1.4846085265271664E-3</v>
      </c>
      <c r="I2092" s="1">
        <f>'[1]Electricity and CHPs_NCAP'!E$36</f>
        <v>2.2753232557365908</v>
      </c>
      <c r="J2092" s="1">
        <f>'[1]Electricity and CHPs_NCAP'!F$36</f>
        <v>2.0589012909445067E-4</v>
      </c>
      <c r="K2092" s="1">
        <f>'[1]Electricity and CHPs_NCAP'!G$36</f>
        <v>3.0009725455613276E-3</v>
      </c>
    </row>
    <row r="2093" spans="2:11" x14ac:dyDescent="0.35">
      <c r="B2093" s="5" t="str">
        <f t="shared" si="1296"/>
        <v>SPS2</v>
      </c>
      <c r="C2093" s="5" t="str">
        <f t="shared" si="1293"/>
        <v>CH</v>
      </c>
      <c r="D2093" t="s">
        <v>2245</v>
      </c>
      <c r="E2093" t="str">
        <f t="shared" si="1294"/>
        <v>GWe/yr.</v>
      </c>
      <c r="F2093" s="1">
        <f>'[1]Electricity and CHPs_NCAP'!B$37</f>
        <v>0</v>
      </c>
      <c r="G2093" s="1">
        <f>'[1]Electricity and CHPs_NCAP'!C$37</f>
        <v>7.8018074851650673E-5</v>
      </c>
      <c r="H2093" s="1">
        <f>'[1]Electricity and CHPs_NCAP'!D$37</f>
        <v>0.62892757995853088</v>
      </c>
      <c r="I2093" s="1">
        <f>'[1]Electricity and CHPs_NCAP'!E$37</f>
        <v>1.9285550897525798</v>
      </c>
      <c r="J2093" s="1">
        <f>'[1]Electricity and CHPs_NCAP'!F$37</f>
        <v>0.3874701278642384</v>
      </c>
      <c r="K2093" s="1">
        <f>'[1]Electricity and CHPs_NCAP'!G$37</f>
        <v>2.6134521197836698</v>
      </c>
    </row>
    <row r="2094" spans="2:11" x14ac:dyDescent="0.35">
      <c r="B2094" s="5" t="str">
        <f t="shared" si="1296"/>
        <v>SPS2</v>
      </c>
      <c r="C2094" s="5" t="str">
        <f t="shared" si="1293"/>
        <v>CH</v>
      </c>
      <c r="D2094" t="s">
        <v>2246</v>
      </c>
      <c r="E2094" t="str">
        <f t="shared" si="1294"/>
        <v>GWe/yr.</v>
      </c>
      <c r="F2094" s="1">
        <f>'[1]Electricity and CHPs_NCAP'!B$38</f>
        <v>0</v>
      </c>
      <c r="G2094" s="1">
        <f>'[1]Electricity and CHPs_NCAP'!C$38</f>
        <v>5.6116360364297204E-7</v>
      </c>
      <c r="H2094" s="1">
        <f>'[1]Electricity and CHPs_NCAP'!D$38</f>
        <v>2.00470206428002</v>
      </c>
      <c r="I2094" s="1">
        <f>'[1]Electricity and CHPs_NCAP'!E$38</f>
        <v>2.06536478654672</v>
      </c>
      <c r="J2094" s="1">
        <f>'[1]Electricity and CHPs_NCAP'!F$38</f>
        <v>3.6607414191560701</v>
      </c>
      <c r="K2094" s="1">
        <f>'[1]Electricity and CHPs_NCAP'!G$38</f>
        <v>5.7258761241270699</v>
      </c>
    </row>
    <row r="2095" spans="2:11" x14ac:dyDescent="0.35">
      <c r="B2095" s="5" t="str">
        <f t="shared" si="1296"/>
        <v>SPS2</v>
      </c>
      <c r="C2095" s="5" t="str">
        <f t="shared" si="1293"/>
        <v>CH</v>
      </c>
      <c r="D2095" t="s">
        <v>2247</v>
      </c>
      <c r="E2095" t="str">
        <f t="shared" si="1294"/>
        <v>GWe/yr.</v>
      </c>
      <c r="F2095" s="1">
        <f>'[1]Electricity and CHPs_NCAP'!B$32</f>
        <v>0</v>
      </c>
      <c r="G2095" s="1">
        <f>'[1]Electricity and CHPs_NCAP'!C$32</f>
        <v>0</v>
      </c>
      <c r="H2095" s="1">
        <f>'[1]Electricity and CHPs_NCAP'!D$32</f>
        <v>0</v>
      </c>
      <c r="I2095" s="1">
        <f>'[1]Electricity and CHPs_NCAP'!E$32</f>
        <v>0</v>
      </c>
      <c r="J2095" s="1">
        <f>'[1]Electricity and CHPs_NCAP'!F$32</f>
        <v>3.30747599478479E-3</v>
      </c>
      <c r="K2095" s="1">
        <f>'[1]Electricity and CHPs_NCAP'!G$32</f>
        <v>5.5789760392950704E-7</v>
      </c>
    </row>
    <row r="2096" spans="2:11" x14ac:dyDescent="0.35">
      <c r="B2096" s="5" t="str">
        <f t="shared" si="1296"/>
        <v>SPS2</v>
      </c>
      <c r="C2096" s="5" t="str">
        <f t="shared" si="1293"/>
        <v>CH</v>
      </c>
      <c r="D2096" t="s">
        <v>2248</v>
      </c>
      <c r="E2096" t="str">
        <f t="shared" si="1294"/>
        <v>GWe/yr.</v>
      </c>
      <c r="F2096" s="1">
        <f t="shared" si="1294"/>
        <v>0</v>
      </c>
      <c r="G2096" s="1">
        <f t="shared" si="1294"/>
        <v>0</v>
      </c>
      <c r="H2096" s="1">
        <f t="shared" si="1294"/>
        <v>0</v>
      </c>
      <c r="I2096" s="1">
        <f t="shared" si="1294"/>
        <v>0</v>
      </c>
      <c r="J2096" s="1">
        <f t="shared" si="1294"/>
        <v>3.30747599478479E-3</v>
      </c>
      <c r="K2096" s="1">
        <f t="shared" si="1294"/>
        <v>5.5789760392950704E-7</v>
      </c>
    </row>
    <row r="2097" spans="2:11" x14ac:dyDescent="0.35">
      <c r="B2097" s="5" t="str">
        <f t="shared" si="1296"/>
        <v>SPS2</v>
      </c>
      <c r="C2097" s="5" t="str">
        <f t="shared" si="1293"/>
        <v>CH</v>
      </c>
      <c r="D2097" t="s">
        <v>2249</v>
      </c>
      <c r="E2097" t="str">
        <f t="shared" ref="E2097:E2108" si="1304">E2096</f>
        <v>GWe/yr.</v>
      </c>
      <c r="F2097" s="1">
        <f t="shared" ref="F2097:K2097" si="1305">SUM(F2098:F2100)</f>
        <v>0</v>
      </c>
      <c r="G2097" s="1">
        <f t="shared" si="1305"/>
        <v>0</v>
      </c>
      <c r="H2097" s="1">
        <f t="shared" si="1305"/>
        <v>0</v>
      </c>
      <c r="I2097" s="1">
        <f t="shared" si="1305"/>
        <v>7.8135884390020298E-4</v>
      </c>
      <c r="J2097" s="1">
        <f t="shared" si="1305"/>
        <v>1.4563156761201574E-3</v>
      </c>
      <c r="K2097" s="1">
        <f t="shared" si="1305"/>
        <v>1.6494018882497819E-3</v>
      </c>
    </row>
    <row r="2098" spans="2:11" x14ac:dyDescent="0.35">
      <c r="B2098" s="5" t="str">
        <f t="shared" si="1296"/>
        <v>SPS2</v>
      </c>
      <c r="C2098" s="5" t="str">
        <f t="shared" si="1293"/>
        <v>CH</v>
      </c>
      <c r="D2098" t="s">
        <v>2250</v>
      </c>
      <c r="E2098" t="str">
        <f t="shared" si="1304"/>
        <v>GWe/yr.</v>
      </c>
      <c r="F2098" s="1">
        <f>'[1]Electricity and CHPs_NCAP'!B$30</f>
        <v>0</v>
      </c>
      <c r="G2098" s="1">
        <f>'[1]Electricity and CHPs_NCAP'!C$30</f>
        <v>0</v>
      </c>
      <c r="H2098" s="1">
        <f>'[1]Electricity and CHPs_NCAP'!D$30</f>
        <v>0</v>
      </c>
      <c r="I2098" s="1">
        <f>'[1]Electricity and CHPs_NCAP'!E$30</f>
        <v>0</v>
      </c>
      <c r="J2098" s="1">
        <f>'[1]Electricity and CHPs_NCAP'!F$30</f>
        <v>1.09052238455631E-3</v>
      </c>
      <c r="K2098" s="1">
        <f>'[1]Electricity and CHPs_NCAP'!G$30</f>
        <v>6.0372741927711398E-6</v>
      </c>
    </row>
    <row r="2099" spans="2:11" x14ac:dyDescent="0.35">
      <c r="B2099" s="5" t="str">
        <f t="shared" si="1296"/>
        <v>SPS2</v>
      </c>
      <c r="C2099" s="5" t="str">
        <f t="shared" si="1293"/>
        <v>CH</v>
      </c>
      <c r="D2099" t="s">
        <v>2251</v>
      </c>
      <c r="E2099" t="str">
        <f t="shared" si="1304"/>
        <v>GWe/yr.</v>
      </c>
      <c r="F2099" s="1">
        <f>'[1]Electricity and CHPs_NCAP'!B$46</f>
        <v>0</v>
      </c>
      <c r="G2099" s="1">
        <f>'[1]Electricity and CHPs_NCAP'!C$46</f>
        <v>0</v>
      </c>
      <c r="H2099" s="1">
        <f>'[1]Electricity and CHPs_NCAP'!D$46</f>
        <v>0</v>
      </c>
      <c r="I2099" s="1">
        <f>'[1]Electricity and CHPs_NCAP'!E$46</f>
        <v>0</v>
      </c>
      <c r="J2099" s="1">
        <f>'[1]Electricity and CHPs_NCAP'!F$46</f>
        <v>1.77619459924243E-6</v>
      </c>
      <c r="K2099" s="1">
        <f>'[1]Electricity and CHPs_NCAP'!G$46</f>
        <v>1.54535189744509E-3</v>
      </c>
    </row>
    <row r="2100" spans="2:11" x14ac:dyDescent="0.35">
      <c r="B2100" s="5" t="str">
        <f t="shared" si="1296"/>
        <v>SPS2</v>
      </c>
      <c r="C2100" s="5" t="str">
        <f t="shared" si="1293"/>
        <v>CH</v>
      </c>
      <c r="D2100" t="s">
        <v>2252</v>
      </c>
      <c r="E2100" t="str">
        <f t="shared" si="1304"/>
        <v>GWe/yr.</v>
      </c>
      <c r="F2100" s="1">
        <f>'[1]Electricity and CHPs_NCAP'!B$57</f>
        <v>0</v>
      </c>
      <c r="G2100" s="1">
        <f>'[1]Electricity and CHPs_NCAP'!C$57</f>
        <v>0</v>
      </c>
      <c r="H2100" s="1">
        <f>'[1]Electricity and CHPs_NCAP'!D$57</f>
        <v>0</v>
      </c>
      <c r="I2100" s="1">
        <f>'[1]Electricity and CHPs_NCAP'!E$57</f>
        <v>7.8135884390020298E-4</v>
      </c>
      <c r="J2100" s="1">
        <f>'[1]Electricity and CHPs_NCAP'!F$57</f>
        <v>3.6401709696460497E-4</v>
      </c>
      <c r="K2100" s="1">
        <f>'[1]Electricity and CHPs_NCAP'!G$57</f>
        <v>9.8012716611920895E-5</v>
      </c>
    </row>
    <row r="2101" spans="2:11" x14ac:dyDescent="0.35">
      <c r="B2101" s="5" t="str">
        <f t="shared" si="1296"/>
        <v>SPS2</v>
      </c>
      <c r="C2101" s="5" t="str">
        <f t="shared" si="1293"/>
        <v>CH</v>
      </c>
      <c r="D2101" t="s">
        <v>2253</v>
      </c>
      <c r="E2101" t="str">
        <f t="shared" si="1304"/>
        <v>GWe/yr.</v>
      </c>
      <c r="F2101" s="1">
        <f t="shared" ref="F2101:K2101" si="1306">SUM(F2102:F2108)</f>
        <v>1.2177533100417309E-2</v>
      </c>
      <c r="G2101" s="1">
        <f t="shared" si="1306"/>
        <v>2.0003779102658969E-5</v>
      </c>
      <c r="H2101" s="1">
        <f t="shared" si="1306"/>
        <v>6.1125319186888219E-5</v>
      </c>
      <c r="I2101" s="1">
        <f t="shared" si="1306"/>
        <v>0.18237258863884565</v>
      </c>
      <c r="J2101" s="1">
        <f t="shared" si="1306"/>
        <v>1.021090449060347</v>
      </c>
      <c r="K2101" s="1">
        <f t="shared" si="1306"/>
        <v>1.5606920867325798</v>
      </c>
    </row>
    <row r="2102" spans="2:11" x14ac:dyDescent="0.35">
      <c r="B2102" s="5" t="str">
        <f t="shared" si="1296"/>
        <v>SPS2</v>
      </c>
      <c r="C2102" s="5" t="str">
        <f t="shared" si="1293"/>
        <v>CH</v>
      </c>
      <c r="D2102" t="s">
        <v>2254</v>
      </c>
      <c r="E2102" t="str">
        <f t="shared" si="1304"/>
        <v>GWe/yr.</v>
      </c>
      <c r="F2102" s="1">
        <f>'[1]Electricity and CHPs_NCAP'!B$63</f>
        <v>0</v>
      </c>
      <c r="G2102" s="1">
        <f>'[1]Electricity and CHPs_NCAP'!C$63</f>
        <v>1.13470270115798E-6</v>
      </c>
      <c r="H2102" s="1">
        <f>'[1]Electricity and CHPs_NCAP'!D$63</f>
        <v>1.2237118814970701E-6</v>
      </c>
      <c r="I2102" s="1">
        <f>'[1]Electricity and CHPs_NCAP'!E$63</f>
        <v>1.2964934863810201E-6</v>
      </c>
      <c r="J2102" s="1">
        <f>'[1]Electricity and CHPs_NCAP'!F$63</f>
        <v>2.00775105235547E-6</v>
      </c>
      <c r="K2102" s="1">
        <f>'[1]Electricity and CHPs_NCAP'!G$63</f>
        <v>1.31915888336905E-6</v>
      </c>
    </row>
    <row r="2103" spans="2:11" x14ac:dyDescent="0.35">
      <c r="B2103" s="5" t="str">
        <f t="shared" si="1296"/>
        <v>SPS2</v>
      </c>
      <c r="C2103" s="5" t="str">
        <f t="shared" si="1293"/>
        <v>CH</v>
      </c>
      <c r="D2103" t="s">
        <v>2255</v>
      </c>
      <c r="E2103" t="str">
        <f t="shared" si="1304"/>
        <v>GWe/yr.</v>
      </c>
      <c r="F2103" s="1">
        <f>'[1]Electricity and CHPs_NCAP'!B$64</f>
        <v>2.0459664929528801E-3</v>
      </c>
      <c r="G2103" s="1">
        <f>'[1]Electricity and CHPs_NCAP'!C$64</f>
        <v>3.0490049217717998E-6</v>
      </c>
      <c r="H2103" s="1">
        <f>'[1]Electricity and CHPs_NCAP'!D$64</f>
        <v>1.2290375706603099E-5</v>
      </c>
      <c r="I2103" s="1">
        <f>'[1]Electricity and CHPs_NCAP'!E$64</f>
        <v>9.9283475693279504E-4</v>
      </c>
      <c r="J2103" s="1">
        <f>'[1]Electricity and CHPs_NCAP'!F$64</f>
        <v>0.79699702489611901</v>
      </c>
      <c r="K2103" s="1">
        <f>'[1]Electricity and CHPs_NCAP'!G$64</f>
        <v>1.0279526524298801</v>
      </c>
    </row>
    <row r="2104" spans="2:11" x14ac:dyDescent="0.35">
      <c r="B2104" s="5" t="str">
        <f t="shared" si="1296"/>
        <v>SPS2</v>
      </c>
      <c r="C2104" s="5" t="str">
        <f t="shared" si="1293"/>
        <v>CH</v>
      </c>
      <c r="D2104" t="s">
        <v>2256</v>
      </c>
      <c r="E2104" t="str">
        <f t="shared" si="1304"/>
        <v>GWe/yr.</v>
      </c>
      <c r="F2104" s="1">
        <f>'[1]Electricity and CHPs_NCAP'!B$65</f>
        <v>1.5170488945995099E-3</v>
      </c>
      <c r="G2104" s="1">
        <f>'[1]Electricity and CHPs_NCAP'!C$65</f>
        <v>2.2595105895508699E-6</v>
      </c>
      <c r="H2104" s="1">
        <f>'[1]Electricity and CHPs_NCAP'!D$65</f>
        <v>8.8134616188627504E-6</v>
      </c>
      <c r="I2104" s="1">
        <f>'[1]Electricity and CHPs_NCAP'!E$65</f>
        <v>6.73751158374188E-4</v>
      </c>
      <c r="J2104" s="1">
        <f>'[1]Electricity and CHPs_NCAP'!F$65</f>
        <v>2.0328358833186801E-3</v>
      </c>
      <c r="K2104" s="1">
        <f>'[1]Electricity and CHPs_NCAP'!G$65</f>
        <v>0.26542928225085199</v>
      </c>
    </row>
    <row r="2105" spans="2:11" x14ac:dyDescent="0.35">
      <c r="B2105" s="5" t="str">
        <f t="shared" si="1296"/>
        <v>SPS2</v>
      </c>
      <c r="C2105" s="5" t="str">
        <f t="shared" si="1293"/>
        <v>CH</v>
      </c>
      <c r="D2105" t="s">
        <v>2257</v>
      </c>
      <c r="E2105" t="str">
        <f t="shared" si="1304"/>
        <v>GWe/yr.</v>
      </c>
      <c r="F2105" s="1">
        <f>'[1]Electricity and CHPs_NCAP'!B$66</f>
        <v>1.43706820049107E-3</v>
      </c>
      <c r="G2105" s="1">
        <f>'[1]Electricity and CHPs_NCAP'!C$66</f>
        <v>2.2823038487974101E-6</v>
      </c>
      <c r="H2105" s="1">
        <f>'[1]Electricity and CHPs_NCAP'!D$66</f>
        <v>6.1926732140032497E-6</v>
      </c>
      <c r="I2105" s="1">
        <f>'[1]Electricity and CHPs_NCAP'!E$66</f>
        <v>4.7954586095117997E-2</v>
      </c>
      <c r="J2105" s="1">
        <f>'[1]Electricity and CHPs_NCAP'!F$66</f>
        <v>0.106446405382998</v>
      </c>
      <c r="K2105" s="1">
        <f>'[1]Electricity and CHPs_NCAP'!G$66</f>
        <v>0.24588123176361601</v>
      </c>
    </row>
    <row r="2106" spans="2:11" x14ac:dyDescent="0.35">
      <c r="B2106" s="5" t="str">
        <f t="shared" si="1296"/>
        <v>SPS2</v>
      </c>
      <c r="C2106" s="5" t="str">
        <f t="shared" si="1293"/>
        <v>CH</v>
      </c>
      <c r="D2106" t="s">
        <v>2258</v>
      </c>
      <c r="E2106" t="str">
        <f t="shared" si="1304"/>
        <v>GWe/yr.</v>
      </c>
      <c r="F2106" s="1">
        <f>'[1]Electricity and CHPs_NCAP'!B$67</f>
        <v>2.8661977592855299E-3</v>
      </c>
      <c r="G2106" s="1">
        <f>'[1]Electricity and CHPs_NCAP'!C$67</f>
        <v>4.4905970581086006E-6</v>
      </c>
      <c r="H2106" s="1">
        <f>'[1]Electricity and CHPs_NCAP'!D$67</f>
        <v>1.3116864415439589E-5</v>
      </c>
      <c r="I2106" s="1">
        <f>'[1]Electricity and CHPs_NCAP'!E$67</f>
        <v>4.9785304824671098E-2</v>
      </c>
      <c r="J2106" s="1">
        <f>'[1]Electricity and CHPs_NCAP'!F$67</f>
        <v>4.2631962958009306E-2</v>
      </c>
      <c r="K2106" s="1">
        <f>'[1]Electricity and CHPs_NCAP'!G$67</f>
        <v>8.71179871658153E-3</v>
      </c>
    </row>
    <row r="2107" spans="2:11" x14ac:dyDescent="0.35">
      <c r="B2107" s="5" t="str">
        <f t="shared" si="1296"/>
        <v>SPS2</v>
      </c>
      <c r="C2107" s="5" t="str">
        <f t="shared" si="1293"/>
        <v>CH</v>
      </c>
      <c r="D2107" t="s">
        <v>2259</v>
      </c>
      <c r="E2107" t="str">
        <f t="shared" si="1304"/>
        <v>GWe/yr.</v>
      </c>
      <c r="F2107" s="1">
        <f>'[1]Electricity and CHPs_NCAP'!B$68</f>
        <v>2.8677031899124999E-3</v>
      </c>
      <c r="G2107" s="1">
        <f>'[1]Electricity and CHPs_NCAP'!C$68</f>
        <v>4.4948328446479301E-6</v>
      </c>
      <c r="H2107" s="1">
        <f>'[1]Electricity and CHPs_NCAP'!D$68</f>
        <v>1.322501432775144E-5</v>
      </c>
      <c r="I2107" s="1">
        <f>'[1]Electricity and CHPs_NCAP'!E$68</f>
        <v>5.1371226510898302E-2</v>
      </c>
      <c r="J2107" s="1">
        <f>'[1]Electricity and CHPs_NCAP'!F$68</f>
        <v>4.6276022526901398E-2</v>
      </c>
      <c r="K2107" s="1">
        <f>'[1]Electricity and CHPs_NCAP'!G$68</f>
        <v>7.1138529440003297E-3</v>
      </c>
    </row>
    <row r="2108" spans="2:11" x14ac:dyDescent="0.35">
      <c r="B2108" s="5" t="str">
        <f t="shared" si="1296"/>
        <v>SPS2</v>
      </c>
      <c r="C2108" s="5" t="str">
        <f t="shared" si="1293"/>
        <v>CH</v>
      </c>
      <c r="D2108" t="s">
        <v>2260</v>
      </c>
      <c r="E2108" t="str">
        <f t="shared" si="1304"/>
        <v>GWe/yr.</v>
      </c>
      <c r="F2108" s="1">
        <f>'[1]Electricity and CHPs_NCAP'!B$69</f>
        <v>1.44354856317582E-3</v>
      </c>
      <c r="G2108" s="1">
        <f>'[1]Electricity and CHPs_NCAP'!C$69</f>
        <v>2.29282713862438E-6</v>
      </c>
      <c r="H2108" s="1">
        <f>'[1]Electricity and CHPs_NCAP'!D$69</f>
        <v>6.2632180227310199E-6</v>
      </c>
      <c r="I2108" s="1">
        <f>'[1]Electricity and CHPs_NCAP'!E$69</f>
        <v>3.1593588799364899E-2</v>
      </c>
      <c r="J2108" s="1">
        <f>'[1]Electricity and CHPs_NCAP'!F$69</f>
        <v>2.67041896619481E-2</v>
      </c>
      <c r="K2108" s="1">
        <f>'[1]Electricity and CHPs_NCAP'!G$69</f>
        <v>5.6019494687663601E-3</v>
      </c>
    </row>
    <row r="2109" spans="2:11" x14ac:dyDescent="0.35">
      <c r="B2109" s="5" t="str">
        <f>B2108</f>
        <v>SPS2</v>
      </c>
      <c r="C2109" s="5" t="str">
        <f t="shared" si="1293"/>
        <v>CH</v>
      </c>
      <c r="D2109" s="2" t="s">
        <v>2182</v>
      </c>
      <c r="E2109" s="2" t="s">
        <v>1973</v>
      </c>
      <c r="F2109" s="3">
        <f t="shared" ref="F2109:K2109" si="1307">SUM(F2110:F2159)</f>
        <v>6.6818337980968504E-4</v>
      </c>
      <c r="G2109" s="3">
        <f t="shared" si="1307"/>
        <v>0.45549238169969963</v>
      </c>
      <c r="H2109" s="3">
        <f t="shared" si="1307"/>
        <v>0.89023748693056959</v>
      </c>
      <c r="I2109" s="3">
        <f t="shared" si="1307"/>
        <v>2.0683872670542467</v>
      </c>
      <c r="J2109" s="3">
        <f t="shared" si="1307"/>
        <v>2.1113275995780136</v>
      </c>
      <c r="K2109" s="3">
        <f t="shared" si="1307"/>
        <v>4.5815107581662122</v>
      </c>
    </row>
    <row r="2110" spans="2:11" x14ac:dyDescent="0.35">
      <c r="B2110" s="5" t="str">
        <f t="shared" ref="B2110:B2173" si="1308">B2109</f>
        <v>SPS2</v>
      </c>
      <c r="C2110" s="5" t="str">
        <f t="shared" ref="C2110:C2173" si="1309">C2109</f>
        <v>CH</v>
      </c>
      <c r="D2110" t="s">
        <v>2261</v>
      </c>
      <c r="E2110" t="str">
        <f t="shared" ref="E2110:E2159" si="1310">E2109</f>
        <v>Million</v>
      </c>
      <c r="F2110" s="1" cm="1">
        <f t="array" ref="F2110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0" s="1" cm="1">
        <f t="array" ref="G2110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0" s="1" cm="1">
        <f t="array" ref="H2110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0" s="1" cm="1">
        <f t="array" ref="I2110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0" s="1" cm="1">
        <f t="array" ref="J2110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0" s="1" cm="1">
        <f t="array" ref="K2110">SUMPRODUCT(("var_ncap"=[1]OUT_TransportEnergyCons!$B$4:$B$10000)*1,("-"=[1]OUT_TransportEnergyCons!$C$4:$C$10000)*1,ISNUMBER(SEARCH("T_C*bat*ext",[1]OUT_TransportEnergyCons!$A$4:$A$10000))*1,[1]OUT_TransportEnergyCons!I$4:I$10000)</f>
        <v>0</v>
      </c>
    </row>
    <row r="2111" spans="2:11" x14ac:dyDescent="0.35">
      <c r="B2111" s="5" t="str">
        <f t="shared" si="1308"/>
        <v>SPS2</v>
      </c>
      <c r="C2111" s="5" t="str">
        <f t="shared" si="1309"/>
        <v>CH</v>
      </c>
      <c r="D2111" t="s">
        <v>2262</v>
      </c>
      <c r="E2111" t="str">
        <f t="shared" si="1310"/>
        <v>Million</v>
      </c>
      <c r="F2111" s="1" cm="1">
        <f t="array" ref="F2111">SUMPRODUCT(("var_ncap"=[1]OUT_TransportEnergyCons!$B$4:$B$10000)*1,("-"=[1]OUT_TransportEnergyCons!$C$4:$C$10000)*1,ISNUMBER(SEARCH("T_C*bat*s1",[1]OUT_TransportEnergyCons!$A$4:$A$10000))*1,[1]OUT_TransportEnergyCons!D$4:D$10000)</f>
        <v>1.70675332518387E-4</v>
      </c>
      <c r="G2111" s="1" cm="1">
        <f t="array" ref="G2111">SUMPRODUCT(("var_ncap"=[1]OUT_TransportEnergyCons!$B$4:$B$10000)*1,("-"=[1]OUT_TransportEnergyCons!$C$4:$C$10000)*1,ISNUMBER(SEARCH("T_C*bat*s1",[1]OUT_TransportEnergyCons!$A$4:$A$10000))*1,[1]OUT_TransportEnergyCons!E$4:E$10000)</f>
        <v>4.6214055821244799E-4</v>
      </c>
      <c r="H2111" s="1" cm="1">
        <f t="array" ref="H2111">SUMPRODUCT(("var_ncap"=[1]OUT_TransportEnergyCons!$B$4:$B$10000)*1,("-"=[1]OUT_TransportEnergyCons!$C$4:$C$10000)*1,ISNUMBER(SEARCH("T_C*bat*s1",[1]OUT_TransportEnergyCons!$A$4:$A$10000))*1,[1]OUT_TransportEnergyCons!F$4:F$10000)</f>
        <v>2.8253587522628402E-4</v>
      </c>
      <c r="I2111" s="1" cm="1">
        <f t="array" ref="I2111">SUMPRODUCT(("var_ncap"=[1]OUT_TransportEnergyCons!$B$4:$B$10000)*1,("-"=[1]OUT_TransportEnergyCons!$C$4:$C$10000)*1,ISNUMBER(SEARCH("T_C*bat*s1",[1]OUT_TransportEnergyCons!$A$4:$A$10000))*1,[1]OUT_TransportEnergyCons!G$4:G$10000)</f>
        <v>0.109177699679711</v>
      </c>
      <c r="J2111" s="1" cm="1">
        <f t="array" ref="J2111">SUMPRODUCT(("var_ncap"=[1]OUT_TransportEnergyCons!$B$4:$B$10000)*1,("-"=[1]OUT_TransportEnergyCons!$C$4:$C$10000)*1,ISNUMBER(SEARCH("T_C*bat*s1",[1]OUT_TransportEnergyCons!$A$4:$A$10000))*1,[1]OUT_TransportEnergyCons!H$4:H$10000)</f>
        <v>0.138795474034387</v>
      </c>
      <c r="K2111" s="1" cm="1">
        <f t="array" ref="K2111">SUMPRODUCT(("var_ncap"=[1]OUT_TransportEnergyCons!$B$4:$B$10000)*1,("-"=[1]OUT_TransportEnergyCons!$C$4:$C$10000)*1,ISNUMBER(SEARCH("T_C*bat*s1",[1]OUT_TransportEnergyCons!$A$4:$A$10000))*1,[1]OUT_TransportEnergyCons!I$4:I$10000)</f>
        <v>0.29277205574585002</v>
      </c>
    </row>
    <row r="2112" spans="2:11" x14ac:dyDescent="0.35">
      <c r="B2112" s="5" t="str">
        <f t="shared" si="1308"/>
        <v>SPS2</v>
      </c>
      <c r="C2112" s="5" t="str">
        <f t="shared" si="1309"/>
        <v>CH</v>
      </c>
      <c r="D2112" t="s">
        <v>2263</v>
      </c>
      <c r="E2112" t="str">
        <f t="shared" si="1310"/>
        <v>Million</v>
      </c>
      <c r="F2112" s="1" cm="1">
        <f t="array" ref="F2112">SUMPRODUCT(("var_ncap"=[1]OUT_TransportEnergyCons!$B$4:$B$10000)*1,("-"=[1]OUT_TransportEnergyCons!$C$4:$C$10000)*1,ISNUMBER(SEARCH("T_C*bat*s2",[1]OUT_TransportEnergyCons!$A$4:$A$10000))*1,[1]OUT_TransportEnergyCons!D$4:D$10000)</f>
        <v>1.2792603307839901E-4</v>
      </c>
      <c r="G2112" s="1" cm="1">
        <f t="array" ref="G2112">SUMPRODUCT(("var_ncap"=[1]OUT_TransportEnergyCons!$B$4:$B$10000)*1,("-"=[1]OUT_TransportEnergyCons!$C$4:$C$10000)*1,ISNUMBER(SEARCH("T_C*bat*s2",[1]OUT_TransportEnergyCons!$A$4:$A$10000))*1,[1]OUT_TransportEnergyCons!E$4:E$10000)</f>
        <v>6.30473851685706E-4</v>
      </c>
      <c r="H2112" s="1" cm="1">
        <f t="array" ref="H2112">SUMPRODUCT(("var_ncap"=[1]OUT_TransportEnergyCons!$B$4:$B$10000)*1,("-"=[1]OUT_TransportEnergyCons!$C$4:$C$10000)*1,ISNUMBER(SEARCH("T_C*bat*s2",[1]OUT_TransportEnergyCons!$A$4:$A$10000))*1,[1]OUT_TransportEnergyCons!F$4:F$10000)</f>
        <v>3.2589480222729398E-3</v>
      </c>
      <c r="I2112" s="1" cm="1">
        <f t="array" ref="I2112">SUMPRODUCT(("var_ncap"=[1]OUT_TransportEnergyCons!$B$4:$B$10000)*1,("-"=[1]OUT_TransportEnergyCons!$C$4:$C$10000)*1,ISNUMBER(SEARCH("T_C*bat*s2",[1]OUT_TransportEnergyCons!$A$4:$A$10000))*1,[1]OUT_TransportEnergyCons!G$4:G$10000)</f>
        <v>0.52914421464600803</v>
      </c>
      <c r="J2112" s="1" cm="1">
        <f t="array" ref="J2112">SUMPRODUCT(("var_ncap"=[1]OUT_TransportEnergyCons!$B$4:$B$10000)*1,("-"=[1]OUT_TransportEnergyCons!$C$4:$C$10000)*1,ISNUMBER(SEARCH("T_C*bat*s2",[1]OUT_TransportEnergyCons!$A$4:$A$10000))*1,[1]OUT_TransportEnergyCons!H$4:H$10000)</f>
        <v>0.66475111926305497</v>
      </c>
      <c r="K2112" s="1" cm="1">
        <f t="array" ref="K2112">SUMPRODUCT(("var_ncap"=[1]OUT_TransportEnergyCons!$B$4:$B$10000)*1,("-"=[1]OUT_TransportEnergyCons!$C$4:$C$10000)*1,ISNUMBER(SEARCH("T_C*bat*s2",[1]OUT_TransportEnergyCons!$A$4:$A$10000))*1,[1]OUT_TransportEnergyCons!I$4:I$10000)</f>
        <v>1.46868442792559</v>
      </c>
    </row>
    <row r="2113" spans="2:11" x14ac:dyDescent="0.35">
      <c r="B2113" s="5" t="str">
        <f t="shared" si="1308"/>
        <v>SPS2</v>
      </c>
      <c r="C2113" s="5" t="str">
        <f t="shared" si="1309"/>
        <v>CH</v>
      </c>
      <c r="D2113" t="s">
        <v>2264</v>
      </c>
      <c r="E2113" t="str">
        <f t="shared" si="1310"/>
        <v>Million</v>
      </c>
      <c r="F2113" s="1" cm="1">
        <f t="array" ref="F2113">SUMPRODUCT(("var_ncap"=[1]OUT_TransportEnergyCons!$B$4:$B$10000)*1,("-"=[1]OUT_TransportEnergyCons!$C$4:$C$10000)*1,ISNUMBER(SEARCH("T_C*bat*s3",[1]OUT_TransportEnergyCons!$A$4:$A$10000))*1,[1]OUT_TransportEnergyCons!D$4:D$10000)</f>
        <v>1.5585421209651199E-4</v>
      </c>
      <c r="G2113" s="1" cm="1">
        <f t="array" ref="G2113">SUMPRODUCT(("var_ncap"=[1]OUT_TransportEnergyCons!$B$4:$B$10000)*1,("-"=[1]OUT_TransportEnergyCons!$C$4:$C$10000)*1,ISNUMBER(SEARCH("T_C*bat*s3",[1]OUT_TransportEnergyCons!$A$4:$A$10000))*1,[1]OUT_TransportEnergyCons!E$4:E$10000)</f>
        <v>2.8701402074982202E-3</v>
      </c>
      <c r="H2113" s="1" cm="1">
        <f t="array" ref="H2113">SUMPRODUCT(("var_ncap"=[1]OUT_TransportEnergyCons!$B$4:$B$10000)*1,("-"=[1]OUT_TransportEnergyCons!$C$4:$C$10000)*1,ISNUMBER(SEARCH("T_C*bat*s3",[1]OUT_TransportEnergyCons!$A$4:$A$10000))*1,[1]OUT_TransportEnergyCons!F$4:F$10000)</f>
        <v>1.9460211458049E-2</v>
      </c>
      <c r="I2113" s="1" cm="1">
        <f t="array" ref="I2113">SUMPRODUCT(("var_ncap"=[1]OUT_TransportEnergyCons!$B$4:$B$10000)*1,("-"=[1]OUT_TransportEnergyCons!$C$4:$C$10000)*1,ISNUMBER(SEARCH("T_C*bat*s3",[1]OUT_TransportEnergyCons!$A$4:$A$10000))*1,[1]OUT_TransportEnergyCons!G$4:G$10000)</f>
        <v>3.95796993439263E-2</v>
      </c>
      <c r="J2113" s="1" cm="1">
        <f t="array" ref="J2113">SUMPRODUCT(("var_ncap"=[1]OUT_TransportEnergyCons!$B$4:$B$10000)*1,("-"=[1]OUT_TransportEnergyCons!$C$4:$C$10000)*1,ISNUMBER(SEARCH("T_C*bat*s3",[1]OUT_TransportEnergyCons!$A$4:$A$10000))*1,[1]OUT_TransportEnergyCons!H$4:H$10000)</f>
        <v>0.42847128671438001</v>
      </c>
      <c r="K2113" s="1" cm="1">
        <f t="array" ref="K2113">SUMPRODUCT(("var_ncap"=[1]OUT_TransportEnergyCons!$B$4:$B$10000)*1,("-"=[1]OUT_TransportEnergyCons!$C$4:$C$10000)*1,ISNUMBER(SEARCH("T_C*bat*s3",[1]OUT_TransportEnergyCons!$A$4:$A$10000))*1,[1]OUT_TransportEnergyCons!I$4:I$10000)</f>
        <v>0.95851922171349802</v>
      </c>
    </row>
    <row r="2114" spans="2:11" x14ac:dyDescent="0.35">
      <c r="B2114" s="5" t="str">
        <f t="shared" si="1308"/>
        <v>SPS2</v>
      </c>
      <c r="C2114" s="5" t="str">
        <f t="shared" si="1309"/>
        <v>CH</v>
      </c>
      <c r="D2114" t="s">
        <v>2265</v>
      </c>
      <c r="E2114" t="str">
        <f t="shared" si="1310"/>
        <v>Million</v>
      </c>
      <c r="F2114" s="1" cm="1">
        <f t="array" ref="F2114">SUMPRODUCT(("var_ncap"=[1]OUT_TransportEnergyCons!$B$4:$B$10000)*1,("-"=[1]OUT_TransportEnergyCons!$C$4:$C$10000)*1,ISNUMBER(SEARCH("T_C*bat*s4",[1]OUT_TransportEnergyCons!$A$4:$A$10000))*1,[1]OUT_TransportEnergyCons!D$4:D$10000)</f>
        <v>2.1372780211638699E-4</v>
      </c>
      <c r="G2114" s="1" cm="1">
        <f t="array" ref="G2114">SUMPRODUCT(("var_ncap"=[1]OUT_TransportEnergyCons!$B$4:$B$10000)*1,("-"=[1]OUT_TransportEnergyCons!$C$4:$C$10000)*1,ISNUMBER(SEARCH("T_C*bat*s4",[1]OUT_TransportEnergyCons!$A$4:$A$10000))*1,[1]OUT_TransportEnergyCons!E$4:E$10000)</f>
        <v>8.0602364109088206E-2</v>
      </c>
      <c r="H2114" s="1" cm="1">
        <f t="array" ref="H2114">SUMPRODUCT(("var_ncap"=[1]OUT_TransportEnergyCons!$B$4:$B$10000)*1,("-"=[1]OUT_TransportEnergyCons!$C$4:$C$10000)*1,ISNUMBER(SEARCH("T_C*bat*s4",[1]OUT_TransportEnergyCons!$A$4:$A$10000))*1,[1]OUT_TransportEnergyCons!F$4:F$10000)</f>
        <v>0.24891688776884699</v>
      </c>
      <c r="I2114" s="1" cm="1">
        <f t="array" ref="I2114">SUMPRODUCT(("var_ncap"=[1]OUT_TransportEnergyCons!$B$4:$B$10000)*1,("-"=[1]OUT_TransportEnergyCons!$C$4:$C$10000)*1,ISNUMBER(SEARCH("T_C*bat*s4",[1]OUT_TransportEnergyCons!$A$4:$A$10000))*1,[1]OUT_TransportEnergyCons!G$4:G$10000)</f>
        <v>0.86254292161955304</v>
      </c>
      <c r="J2114" s="1" cm="1">
        <f t="array" ref="J2114">SUMPRODUCT(("var_ncap"=[1]OUT_TransportEnergyCons!$B$4:$B$10000)*1,("-"=[1]OUT_TransportEnergyCons!$C$4:$C$10000)*1,ISNUMBER(SEARCH("T_C*bat*s4",[1]OUT_TransportEnergyCons!$A$4:$A$10000))*1,[1]OUT_TransportEnergyCons!H$4:H$10000)</f>
        <v>0.87929784144867995</v>
      </c>
      <c r="K2114" s="1" cm="1">
        <f t="array" ref="K2114">SUMPRODUCT(("var_ncap"=[1]OUT_TransportEnergyCons!$B$4:$B$10000)*1,("-"=[1]OUT_TransportEnergyCons!$C$4:$C$10000)*1,ISNUMBER(SEARCH("T_C*bat*s4",[1]OUT_TransportEnergyCons!$A$4:$A$10000))*1,[1]OUT_TransportEnergyCons!I$4:I$10000)</f>
        <v>1.86152063667733</v>
      </c>
    </row>
    <row r="2115" spans="2:11" x14ac:dyDescent="0.35">
      <c r="B2115" s="5" t="str">
        <f t="shared" si="1308"/>
        <v>SPS2</v>
      </c>
      <c r="C2115" s="5" t="str">
        <f t="shared" si="1309"/>
        <v>CH</v>
      </c>
      <c r="D2115" t="s">
        <v>2266</v>
      </c>
      <c r="E2115" t="str">
        <f t="shared" si="1310"/>
        <v>Million</v>
      </c>
      <c r="F2115" s="1" cm="1">
        <f t="array" ref="F2115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SUMPRODUCT(("var_ncap"=[1]OUT_TransportEnergyCons!$B$4:$B$10000)*1,("-"=[1]OUT_TransportEnergyCons!$C$4:$C$10000)*1,ISNUMBER(SEARCH("T_C*pev*GSL*s1",[1]OUT_TransportEnergyCons!$A$4:$A$10000))*1,[1]OUT_TransportEnergyCons!E$4:E$10000)</f>
        <v>1.9576443968854601E-4</v>
      </c>
      <c r="H2115" s="1" cm="1">
        <f t="array" ref="H2115">SUMPRODUCT(("var_ncap"=[1]OUT_TransportEnergyCons!$B$4:$B$10000)*1,("-"=[1]OUT_TransportEnergyCons!$C$4:$C$10000)*1,ISNUMBER(SEARCH("T_C*pev*GSL*s1",[1]OUT_TransportEnergyCons!$A$4:$A$10000))*1,[1]OUT_TransportEnergyCons!F$4:F$10000)</f>
        <v>1.6058926734253799E-4</v>
      </c>
      <c r="I2115" s="1" cm="1">
        <f t="array" ref="I2115">SUMPRODUCT(("var_ncap"=[1]OUT_TransportEnergyCons!$B$4:$B$10000)*1,("-"=[1]OUT_TransportEnergyCons!$C$4:$C$10000)*1,ISNUMBER(SEARCH("T_C*pev*GSL*s1",[1]OUT_TransportEnergyCons!$A$4:$A$10000))*1,[1]OUT_TransportEnergyCons!G$4:G$10000)</f>
        <v>9.92349239446333E-4</v>
      </c>
      <c r="J2115" s="1" cm="1">
        <f t="array" ref="J2115">SUMPRODUCT(("var_ncap"=[1]OUT_TransportEnergyCons!$B$4:$B$10000)*1,("-"=[1]OUT_TransportEnergyCons!$C$4:$C$10000)*1,ISNUMBER(SEARCH("T_C*pev*GSL*s1",[1]OUT_TransportEnergyCons!$A$4:$A$10000))*1,[1]OUT_TransportEnergyCons!H$4:H$10000)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SUMPRODUCT(("var_ncap"=[1]OUT_TransportEnergyCons!$B$4:$B$10000)*1,("-"=[1]OUT_TransportEnergyCons!$C$4:$C$10000)*1,ISNUMBER(SEARCH("T_C*pev*GSL*s1",[1]OUT_TransportEnergyCons!$A$4:$A$10000))*1,[1]OUT_TransportEnergyCons!I$4:I$10000)</f>
        <v>0</v>
      </c>
    </row>
    <row r="2116" spans="2:11" x14ac:dyDescent="0.35">
      <c r="B2116" s="5" t="str">
        <f t="shared" si="1308"/>
        <v>SPS2</v>
      </c>
      <c r="C2116" s="5" t="str">
        <f t="shared" si="1309"/>
        <v>CH</v>
      </c>
      <c r="D2116" t="s">
        <v>2267</v>
      </c>
      <c r="E2116" t="str">
        <f t="shared" si="1310"/>
        <v>Million</v>
      </c>
      <c r="F2116" s="1" cm="1">
        <f t="array" ref="F2116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16" s="1" cm="1">
        <f t="array" ref="G2116">SUMPRODUCT(("var_ncap"=[1]OUT_TransportEnergyCons!$B$4:$B$10000)*1,("-"=[1]OUT_TransportEnergyCons!$C$4:$C$10000)*1,ISNUMBER(SEARCH("T_C*pev*GSL*s2",[1]OUT_TransportEnergyCons!$A$4:$A$10000))*1,[1]OUT_TransportEnergyCons!E$4:E$10000)</f>
        <v>8.5070651477201799E-5</v>
      </c>
      <c r="H2116" s="1" cm="1">
        <f t="array" ref="H2116">SUMPRODUCT(("var_ncap"=[1]OUT_TransportEnergyCons!$B$4:$B$10000)*1,("-"=[1]OUT_TransportEnergyCons!$C$4:$C$10000)*1,ISNUMBER(SEARCH("T_C*pev*GSL*s2",[1]OUT_TransportEnergyCons!$A$4:$A$10000))*1,[1]OUT_TransportEnergyCons!F$4:F$10000)</f>
        <v>2.29311674248671E-4</v>
      </c>
      <c r="I2116" s="1" cm="1">
        <f t="array" ref="I2116">SUMPRODUCT(("var_ncap"=[1]OUT_TransportEnergyCons!$B$4:$B$10000)*1,("-"=[1]OUT_TransportEnergyCons!$C$4:$C$10000)*1,ISNUMBER(SEARCH("T_C*pev*GSL*s2",[1]OUT_TransportEnergyCons!$A$4:$A$10000))*1,[1]OUT_TransportEnergyCons!G$4:G$10000)</f>
        <v>5.6511072420280196E-4</v>
      </c>
      <c r="J2116" s="1" cm="1">
        <f t="array" ref="J2116">SUMPRODUCT(("var_ncap"=[1]OUT_TransportEnergyCons!$B$4:$B$10000)*1,("-"=[1]OUT_TransportEnergyCons!$C$4:$C$10000)*1,ISNUMBER(SEARCH("T_C*pev*GSL*s2",[1]OUT_TransportEnergyCons!$A$4:$A$10000))*1,[1]OUT_TransportEnergyCons!H$4:H$10000)</f>
        <v>0</v>
      </c>
      <c r="K2116" s="1" cm="1">
        <f t="array" ref="K2116">SUMPRODUCT(("var_ncap"=[1]OUT_TransportEnergyCons!$B$4:$B$10000)*1,("-"=[1]OUT_TransportEnergyCons!$C$4:$C$10000)*1,ISNUMBER(SEARCH("T_C*pev*GSL*s2",[1]OUT_TransportEnergyCons!$A$4:$A$10000))*1,[1]OUT_TransportEnergyCons!I$4:I$10000)</f>
        <v>0</v>
      </c>
    </row>
    <row r="2117" spans="2:11" x14ac:dyDescent="0.35">
      <c r="B2117" s="5" t="str">
        <f t="shared" si="1308"/>
        <v>SPS2</v>
      </c>
      <c r="C2117" s="5" t="str">
        <f t="shared" si="1309"/>
        <v>CH</v>
      </c>
      <c r="D2117" t="s">
        <v>2268</v>
      </c>
      <c r="E2117" t="str">
        <f t="shared" si="1310"/>
        <v>Million</v>
      </c>
      <c r="F2117" s="1" cm="1">
        <f t="array" ref="F2117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17" s="1" cm="1">
        <f t="array" ref="G2117">SUMPRODUCT(("var_ncap"=[1]OUT_TransportEnergyCons!$B$4:$B$10000)*1,("-"=[1]OUT_TransportEnergyCons!$C$4:$C$10000)*1,ISNUMBER(SEARCH("T_C*pev*GSL*s3",[1]OUT_TransportEnergyCons!$A$4:$A$10000))*1,[1]OUT_TransportEnergyCons!E$4:E$10000)</f>
        <v>3.39826095578371E-2</v>
      </c>
      <c r="H2117" s="1" cm="1">
        <f t="array" ref="H2117">SUMPRODUCT(("var_ncap"=[1]OUT_TransportEnergyCons!$B$4:$B$10000)*1,("-"=[1]OUT_TransportEnergyCons!$C$4:$C$10000)*1,ISNUMBER(SEARCH("T_C*pev*GSL*s3",[1]OUT_TransportEnergyCons!$A$4:$A$10000))*1,[1]OUT_TransportEnergyCons!F$4:F$10000)</f>
        <v>4.0053341071959403E-2</v>
      </c>
      <c r="I2117" s="1" cm="1">
        <f t="array" ref="I2117">SUMPRODUCT(("var_ncap"=[1]OUT_TransportEnergyCons!$B$4:$B$10000)*1,("-"=[1]OUT_TransportEnergyCons!$C$4:$C$10000)*1,ISNUMBER(SEARCH("T_C*pev*GSL*s3",[1]OUT_TransportEnergyCons!$A$4:$A$10000))*1,[1]OUT_TransportEnergyCons!G$4:G$10000)</f>
        <v>0.30886754392687399</v>
      </c>
      <c r="J2117" s="1" cm="1">
        <f t="array" ref="J2117">SUMPRODUCT(("var_ncap"=[1]OUT_TransportEnergyCons!$B$4:$B$10000)*1,("-"=[1]OUT_TransportEnergyCons!$C$4:$C$10000)*1,ISNUMBER(SEARCH("T_C*pev*GSL*s3",[1]OUT_TransportEnergyCons!$A$4:$A$10000))*1,[1]OUT_TransportEnergyCons!H$4:H$10000)</f>
        <v>0</v>
      </c>
      <c r="K2117" s="1" cm="1">
        <f t="array" ref="K2117">SUMPRODUCT(("var_ncap"=[1]OUT_TransportEnergyCons!$B$4:$B$10000)*1,("-"=[1]OUT_TransportEnergyCons!$C$4:$C$10000)*1,ISNUMBER(SEARCH("T_C*pev*GSL*s3",[1]OUT_TransportEnergyCons!$A$4:$A$10000))*1,[1]OUT_TransportEnergyCons!I$4:I$10000)</f>
        <v>0</v>
      </c>
    </row>
    <row r="2118" spans="2:11" x14ac:dyDescent="0.35">
      <c r="B2118" s="5" t="str">
        <f t="shared" si="1308"/>
        <v>SPS2</v>
      </c>
      <c r="C2118" s="5" t="str">
        <f t="shared" si="1309"/>
        <v>CH</v>
      </c>
      <c r="D2118" t="s">
        <v>2269</v>
      </c>
      <c r="E2118" t="str">
        <f t="shared" si="1310"/>
        <v>Million</v>
      </c>
      <c r="F2118" s="1" cm="1">
        <f t="array" ref="F2118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18" s="1" cm="1">
        <f t="array" ref="G2118">SUMPRODUCT(("var_ncap"=[1]OUT_TransportEnergyCons!$B$4:$B$10000)*1,("-"=[1]OUT_TransportEnergyCons!$C$4:$C$10000)*1,ISNUMBER(SEARCH("T_C*pev*GSL*s4",[1]OUT_TransportEnergyCons!$A$4:$A$10000))*1,[1]OUT_TransportEnergyCons!E$4:E$10000)</f>
        <v>5.6588644882889704E-4</v>
      </c>
      <c r="H2118" s="1" cm="1">
        <f t="array" ref="H2118">SUMPRODUCT(("var_ncap"=[1]OUT_TransportEnergyCons!$B$4:$B$10000)*1,("-"=[1]OUT_TransportEnergyCons!$C$4:$C$10000)*1,ISNUMBER(SEARCH("T_C*pev*GSL*s4",[1]OUT_TransportEnergyCons!$A$4:$A$10000))*1,[1]OUT_TransportEnergyCons!F$4:F$10000)</f>
        <v>6.3856839718037198E-4</v>
      </c>
      <c r="I2118" s="1" cm="1">
        <f t="array" ref="I2118">SUMPRODUCT(("var_ncap"=[1]OUT_TransportEnergyCons!$B$4:$B$10000)*1,("-"=[1]OUT_TransportEnergyCons!$C$4:$C$10000)*1,ISNUMBER(SEARCH("T_C*pev*GSL*s4",[1]OUT_TransportEnergyCons!$A$4:$A$10000))*1,[1]OUT_TransportEnergyCons!G$4:G$10000)</f>
        <v>8.0770611900999505E-4</v>
      </c>
      <c r="J2118" s="1" cm="1">
        <f t="array" ref="J2118">SUMPRODUCT(("var_ncap"=[1]OUT_TransportEnergyCons!$B$4:$B$10000)*1,("-"=[1]OUT_TransportEnergyCons!$C$4:$C$10000)*1,ISNUMBER(SEARCH("T_C*pev*GSL*s4",[1]OUT_TransportEnergyCons!$A$4:$A$10000))*1,[1]OUT_TransportEnergyCons!H$4:H$10000)</f>
        <v>0</v>
      </c>
      <c r="K2118" s="1" cm="1">
        <f t="array" ref="K2118">SUMPRODUCT(("var_ncap"=[1]OUT_TransportEnergyCons!$B$4:$B$10000)*1,("-"=[1]OUT_TransportEnergyCons!$C$4:$C$10000)*1,ISNUMBER(SEARCH("T_C*pev*GSL*s4",[1]OUT_TransportEnergyCons!$A$4:$A$10000))*1,[1]OUT_TransportEnergyCons!I$4:I$10000)</f>
        <v>0</v>
      </c>
    </row>
    <row r="2119" spans="2:11" x14ac:dyDescent="0.35">
      <c r="B2119" s="5" t="str">
        <f t="shared" si="1308"/>
        <v>SPS2</v>
      </c>
      <c r="C2119" s="5" t="str">
        <f t="shared" si="1309"/>
        <v>CH</v>
      </c>
      <c r="D2119" t="s">
        <v>2270</v>
      </c>
      <c r="E2119" t="str">
        <f t="shared" si="1310"/>
        <v>Million</v>
      </c>
      <c r="F2119" s="1" cm="1">
        <f t="array" ref="F2119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19" s="1" cm="1">
        <f t="array" ref="G2119">SUMPRODUCT(("var_ncap"=[1]OUT_TransportEnergyCons!$B$4:$B$10000)*1,("-"=[1]OUT_TransportEnergyCons!$C$4:$C$10000)*1,ISNUMBER(SEARCH("T_C*pev*dsl*s1",[1]OUT_TransportEnergyCons!$A$4:$A$10000))*1,[1]OUT_TransportEnergyCons!E$4:E$10000)</f>
        <v>1.9638237373000901E-4</v>
      </c>
      <c r="H2119" s="1" cm="1">
        <f t="array" ref="H2119">SUMPRODUCT(("var_ncap"=[1]OUT_TransportEnergyCons!$B$4:$B$10000)*1,("-"=[1]OUT_TransportEnergyCons!$C$4:$C$10000)*1,ISNUMBER(SEARCH("T_C*pev*dsl*s1",[1]OUT_TransportEnergyCons!$A$4:$A$10000))*1,[1]OUT_TransportEnergyCons!F$4:F$10000)</f>
        <v>1.6149804806135499E-4</v>
      </c>
      <c r="I2119" s="1" cm="1">
        <f t="array" ref="I2119">SUMPRODUCT(("var_ncap"=[1]OUT_TransportEnergyCons!$B$4:$B$10000)*1,("-"=[1]OUT_TransportEnergyCons!$C$4:$C$10000)*1,ISNUMBER(SEARCH("T_C*pev*dsl*s1",[1]OUT_TransportEnergyCons!$A$4:$A$10000))*1,[1]OUT_TransportEnergyCons!G$4:G$10000)</f>
        <v>1.08629846869515E-3</v>
      </c>
      <c r="J2119" s="1" cm="1">
        <f t="array" ref="J2119">SUMPRODUCT(("var_ncap"=[1]OUT_TransportEnergyCons!$B$4:$B$10000)*1,("-"=[1]OUT_TransportEnergyCons!$C$4:$C$10000)*1,ISNUMBER(SEARCH("T_C*pev*dsl*s1",[1]OUT_TransportEnergyCons!$A$4:$A$10000))*1,[1]OUT_TransportEnergyCons!H$4:H$10000)</f>
        <v>0</v>
      </c>
      <c r="K2119" s="1" cm="1">
        <f t="array" ref="K2119">SUMPRODUCT(("var_ncap"=[1]OUT_TransportEnergyCons!$B$4:$B$10000)*1,("-"=[1]OUT_TransportEnergyCons!$C$4:$C$10000)*1,ISNUMBER(SEARCH("T_C*pev*dsl*s1",[1]OUT_TransportEnergyCons!$A$4:$A$10000))*1,[1]OUT_TransportEnergyCons!I$4:I$10000)</f>
        <v>0</v>
      </c>
    </row>
    <row r="2120" spans="2:11" x14ac:dyDescent="0.35">
      <c r="B2120" s="5" t="str">
        <f t="shared" si="1308"/>
        <v>SPS2</v>
      </c>
      <c r="C2120" s="5" t="str">
        <f t="shared" si="1309"/>
        <v>CH</v>
      </c>
      <c r="D2120" t="s">
        <v>2271</v>
      </c>
      <c r="E2120" t="str">
        <f t="shared" si="1310"/>
        <v>Million</v>
      </c>
      <c r="F2120" s="1" cm="1">
        <f t="array" ref="F2120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SUMPRODUCT(("var_ncap"=[1]OUT_TransportEnergyCons!$B$4:$B$10000)*1,("-"=[1]OUT_TransportEnergyCons!$C$4:$C$10000)*1,ISNUMBER(SEARCH("T_C*pev*dsl*s2",[1]OUT_TransportEnergyCons!$A$4:$A$10000))*1,[1]OUT_TransportEnergyCons!E$4:E$10000)</f>
        <v>1.12811537720762E-4</v>
      </c>
      <c r="H2120" s="1" cm="1">
        <f t="array" ref="H2120">SUMPRODUCT(("var_ncap"=[1]OUT_TransportEnergyCons!$B$4:$B$10000)*1,("-"=[1]OUT_TransportEnergyCons!$C$4:$C$10000)*1,ISNUMBER(SEARCH("T_C*pev*dsl*s2",[1]OUT_TransportEnergyCons!$A$4:$A$10000))*1,[1]OUT_TransportEnergyCons!F$4:F$10000)</f>
        <v>2.6954261263580602E-4</v>
      </c>
      <c r="I2120" s="1" cm="1">
        <f t="array" ref="I2120">SUMPRODUCT(("var_ncap"=[1]OUT_TransportEnergyCons!$B$4:$B$10000)*1,("-"=[1]OUT_TransportEnergyCons!$C$4:$C$10000)*1,ISNUMBER(SEARCH("T_C*pev*dsl*s2",[1]OUT_TransportEnergyCons!$A$4:$A$10000))*1,[1]OUT_TransportEnergyCons!G$4:G$10000)</f>
        <v>6.1281868445248796E-4</v>
      </c>
      <c r="J2120" s="1" cm="1">
        <f t="array" ref="J2120">SUMPRODUCT(("var_ncap"=[1]OUT_TransportEnergyCons!$B$4:$B$10000)*1,("-"=[1]OUT_TransportEnergyCons!$C$4:$C$10000)*1,ISNUMBER(SEARCH("T_C*pev*dsl*s2",[1]OUT_TransportEnergyCons!$A$4:$A$10000))*1,[1]OUT_TransportEnergyCons!H$4:H$10000)</f>
        <v>0</v>
      </c>
      <c r="K2120" s="1" cm="1">
        <f t="array" ref="K2120">SUMPRODUCT(("var_ncap"=[1]OUT_TransportEnergyCons!$B$4:$B$10000)*1,("-"=[1]OUT_TransportEnergyCons!$C$4:$C$10000)*1,ISNUMBER(SEARCH("T_C*pev*dsl*s2",[1]OUT_TransportEnergyCons!$A$4:$A$10000))*1,[1]OUT_TransportEnergyCons!I$4:I$10000)</f>
        <v>0</v>
      </c>
    </row>
    <row r="2121" spans="2:11" x14ac:dyDescent="0.35">
      <c r="B2121" s="5" t="str">
        <f t="shared" si="1308"/>
        <v>SPS2</v>
      </c>
      <c r="C2121" s="5" t="str">
        <f t="shared" si="1309"/>
        <v>CH</v>
      </c>
      <c r="D2121" t="s">
        <v>2272</v>
      </c>
      <c r="E2121" t="str">
        <f t="shared" si="1310"/>
        <v>Million</v>
      </c>
      <c r="F2121" s="1" cm="1">
        <f t="array" ref="F2121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SUMPRODUCT(("var_ncap"=[1]OUT_TransportEnergyCons!$B$4:$B$10000)*1,("-"=[1]OUT_TransportEnergyCons!$C$4:$C$10000)*1,ISNUMBER(SEARCH("T_C*pev*dsl*s3",[1]OUT_TransportEnergyCons!$A$4:$A$10000))*1,[1]OUT_TransportEnergyCons!E$4:E$10000)</f>
        <v>1.53109743745838E-3</v>
      </c>
      <c r="H2121" s="1" cm="1">
        <f t="array" ref="H2121">SUMPRODUCT(("var_ncap"=[1]OUT_TransportEnergyCons!$B$4:$B$10000)*1,("-"=[1]OUT_TransportEnergyCons!$C$4:$C$10000)*1,ISNUMBER(SEARCH("T_C*pev*dsl*s3",[1]OUT_TransportEnergyCons!$A$4:$A$10000))*1,[1]OUT_TransportEnergyCons!F$4:F$10000)</f>
        <v>6.5722949791786694E-2</v>
      </c>
      <c r="I2121" s="1" cm="1">
        <f t="array" ref="I2121">SUMPRODUCT(("var_ncap"=[1]OUT_TransportEnergyCons!$B$4:$B$10000)*1,("-"=[1]OUT_TransportEnergyCons!$C$4:$C$10000)*1,ISNUMBER(SEARCH("T_C*pev*dsl*s3",[1]OUT_TransportEnergyCons!$A$4:$A$10000))*1,[1]OUT_TransportEnergyCons!G$4:G$10000)</f>
        <v>0.212821727886365</v>
      </c>
      <c r="J2121" s="1" cm="1">
        <f t="array" ref="J2121">SUMPRODUCT(("var_ncap"=[1]OUT_TransportEnergyCons!$B$4:$B$10000)*1,("-"=[1]OUT_TransportEnergyCons!$C$4:$C$10000)*1,ISNUMBER(SEARCH("T_C*pev*dsl*s3",[1]OUT_TransportEnergyCons!$A$4:$A$10000))*1,[1]OUT_TransportEnergyCons!H$4:H$10000)</f>
        <v>0</v>
      </c>
      <c r="K2121" s="1" cm="1">
        <f t="array" ref="K2121">SUMPRODUCT(("var_ncap"=[1]OUT_TransportEnergyCons!$B$4:$B$10000)*1,("-"=[1]OUT_TransportEnergyCons!$C$4:$C$10000)*1,ISNUMBER(SEARCH("T_C*pev*dsl*s3",[1]OUT_TransportEnergyCons!$A$4:$A$10000))*1,[1]OUT_TransportEnergyCons!I$4:I$10000)</f>
        <v>0</v>
      </c>
    </row>
    <row r="2122" spans="2:11" x14ac:dyDescent="0.35">
      <c r="B2122" s="5" t="str">
        <f t="shared" si="1308"/>
        <v>SPS2</v>
      </c>
      <c r="C2122" s="5" t="str">
        <f t="shared" si="1309"/>
        <v>CH</v>
      </c>
      <c r="D2122" t="s">
        <v>2273</v>
      </c>
      <c r="E2122" t="str">
        <f t="shared" si="1310"/>
        <v>Million</v>
      </c>
      <c r="F2122" s="1" cm="1">
        <f t="array" ref="F2122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SUMPRODUCT(("var_ncap"=[1]OUT_TransportEnergyCons!$B$4:$B$10000)*1,("-"=[1]OUT_TransportEnergyCons!$C$4:$C$10000)*1,ISNUMBER(SEARCH("T_C*pev*dsl*s4",[1]OUT_TransportEnergyCons!$A$4:$A$10000))*1,[1]OUT_TransportEnergyCons!E$4:E$10000)</f>
        <v>4.9777440279920597E-4</v>
      </c>
      <c r="H2122" s="1" cm="1">
        <f t="array" ref="H2122">SUMPRODUCT(("var_ncap"=[1]OUT_TransportEnergyCons!$B$4:$B$10000)*1,("-"=[1]OUT_TransportEnergyCons!$C$4:$C$10000)*1,ISNUMBER(SEARCH("T_C*pev*dsl*s4",[1]OUT_TransportEnergyCons!$A$4:$A$10000))*1,[1]OUT_TransportEnergyCons!F$4:F$10000)</f>
        <v>7.0928153380657097E-4</v>
      </c>
      <c r="I2122" s="1" cm="1">
        <f t="array" ref="I2122">SUMPRODUCT(("var_ncap"=[1]OUT_TransportEnergyCons!$B$4:$B$10000)*1,("-"=[1]OUT_TransportEnergyCons!$C$4:$C$10000)*1,ISNUMBER(SEARCH("T_C*pev*dsl*s4",[1]OUT_TransportEnergyCons!$A$4:$A$10000))*1,[1]OUT_TransportEnergyCons!G$4:G$10000)</f>
        <v>8.2937450410172902E-4</v>
      </c>
      <c r="J2122" s="1" cm="1">
        <f t="array" ref="J2122">SUMPRODUCT(("var_ncap"=[1]OUT_TransportEnergyCons!$B$4:$B$10000)*1,("-"=[1]OUT_TransportEnergyCons!$C$4:$C$10000)*1,ISNUMBER(SEARCH("T_C*pev*dsl*s4",[1]OUT_TransportEnergyCons!$A$4:$A$10000))*1,[1]OUT_TransportEnergyCons!H$4:H$10000)</f>
        <v>0</v>
      </c>
      <c r="K2122" s="1" cm="1">
        <f t="array" ref="K2122">SUMPRODUCT(("var_ncap"=[1]OUT_TransportEnergyCons!$B$4:$B$10000)*1,("-"=[1]OUT_TransportEnergyCons!$C$4:$C$10000)*1,ISNUMBER(SEARCH("T_C*pev*dsl*s4",[1]OUT_TransportEnergyCons!$A$4:$A$10000))*1,[1]OUT_TransportEnergyCons!I$4:I$10000)</f>
        <v>0</v>
      </c>
    </row>
    <row r="2123" spans="2:11" x14ac:dyDescent="0.35">
      <c r="B2123" s="5" t="str">
        <f t="shared" si="1308"/>
        <v>SPS2</v>
      </c>
      <c r="C2123" s="5" t="str">
        <f t="shared" si="1309"/>
        <v>CH</v>
      </c>
      <c r="D2123" t="s">
        <v>2274</v>
      </c>
      <c r="E2123" t="str">
        <f t="shared" si="1310"/>
        <v>Million</v>
      </c>
      <c r="F2123" s="1" cm="1">
        <f t="array" ref="F2123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SUMPRODUCT(("var_ncap"=[1]OUT_TransportEnergyCons!$B$4:$B$10000)*1,("-"=[1]OUT_TransportEnergyCons!$C$4:$C$10000)*1,ISNUMBER(SEARCH("T_C*h2o*s1",[1]OUT_TransportEnergyCons!$A$4:$A$10000))*1,[1]OUT_TransportEnergyCons!E$4:E$10000)</f>
        <v>9.7403196760998901E-6</v>
      </c>
      <c r="H2123" s="1" cm="1">
        <f t="array" ref="H2123">SUMPRODUCT(("var_ncap"=[1]OUT_TransportEnergyCons!$B$4:$B$10000)*1,("-"=[1]OUT_TransportEnergyCons!$C$4:$C$10000)*1,ISNUMBER(SEARCH("T_C*h2o*s1",[1]OUT_TransportEnergyCons!$A$4:$A$10000))*1,[1]OUT_TransportEnergyCons!F$4:F$10000)</f>
        <v>4.1638669288873097E-6</v>
      </c>
      <c r="I2123" s="1" cm="1">
        <f t="array" ref="I2123">SUMPRODUCT(("var_ncap"=[1]OUT_TransportEnergyCons!$B$4:$B$10000)*1,("-"=[1]OUT_TransportEnergyCons!$C$4:$C$10000)*1,ISNUMBER(SEARCH("T_C*h2o*s1",[1]OUT_TransportEnergyCons!$A$4:$A$10000))*1,[1]OUT_TransportEnergyCons!G$4:G$10000)</f>
        <v>1.4097834025647001E-6</v>
      </c>
      <c r="J2123" s="1" cm="1">
        <f t="array" ref="J2123">SUMPRODUCT(("var_ncap"=[1]OUT_TransportEnergyCons!$B$4:$B$10000)*1,("-"=[1]OUT_TransportEnergyCons!$C$4:$C$10000)*1,ISNUMBER(SEARCH("T_C*h2o*s1",[1]OUT_TransportEnergyCons!$A$4:$A$10000))*1,[1]OUT_TransportEnergyCons!H$4:H$10000)</f>
        <v>3.36476927303299E-6</v>
      </c>
      <c r="K2123" s="1" cm="1">
        <f t="array" ref="K2123">SUMPRODUCT(("var_ncap"=[1]OUT_TransportEnergyCons!$B$4:$B$10000)*1,("-"=[1]OUT_TransportEnergyCons!$C$4:$C$10000)*1,ISNUMBER(SEARCH("T_C*h2o*s1",[1]OUT_TransportEnergyCons!$A$4:$A$10000))*1,[1]OUT_TransportEnergyCons!I$4:I$10000)</f>
        <v>3.32824436807944E-6</v>
      </c>
    </row>
    <row r="2124" spans="2:11" x14ac:dyDescent="0.35">
      <c r="B2124" s="5" t="str">
        <f t="shared" si="1308"/>
        <v>SPS2</v>
      </c>
      <c r="C2124" s="5" t="str">
        <f t="shared" si="1309"/>
        <v>CH</v>
      </c>
      <c r="D2124" t="s">
        <v>2275</v>
      </c>
      <c r="E2124" t="str">
        <f t="shared" si="1310"/>
        <v>Million</v>
      </c>
      <c r="F2124" s="1" cm="1">
        <f t="array" ref="F2124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SUMPRODUCT(("var_ncap"=[1]OUT_TransportEnergyCons!$B$4:$B$10000)*1,("-"=[1]OUT_TransportEnergyCons!$C$4:$C$10000)*1,ISNUMBER(SEARCH("T_C*h2o*s2",[1]OUT_TransportEnergyCons!$A$4:$A$10000))*1,[1]OUT_TransportEnergyCons!E$4:E$10000)</f>
        <v>3.9937626325149001E-6</v>
      </c>
      <c r="H2124" s="1" cm="1">
        <f t="array" ref="H2124">SUMPRODUCT(("var_ncap"=[1]OUT_TransportEnergyCons!$B$4:$B$10000)*1,("-"=[1]OUT_TransportEnergyCons!$C$4:$C$10000)*1,ISNUMBER(SEARCH("T_C*h2o*s2",[1]OUT_TransportEnergyCons!$A$4:$A$10000))*1,[1]OUT_TransportEnergyCons!F$4:F$10000)</f>
        <v>3.43933872763484E-6</v>
      </c>
      <c r="I2124" s="1" cm="1">
        <f t="array" ref="I2124">SUMPRODUCT(("var_ncap"=[1]OUT_TransportEnergyCons!$B$4:$B$10000)*1,("-"=[1]OUT_TransportEnergyCons!$C$4:$C$10000)*1,ISNUMBER(SEARCH("T_C*h2o*s2",[1]OUT_TransportEnergyCons!$A$4:$A$10000))*1,[1]OUT_TransportEnergyCons!G$4:G$10000)</f>
        <v>1.3082982801566301E-6</v>
      </c>
      <c r="J2124" s="1" cm="1">
        <f t="array" ref="J2124">SUMPRODUCT(("var_ncap"=[1]OUT_TransportEnergyCons!$B$4:$B$10000)*1,("-"=[1]OUT_TransportEnergyCons!$C$4:$C$10000)*1,ISNUMBER(SEARCH("T_C*h2o*s2",[1]OUT_TransportEnergyCons!$A$4:$A$10000))*1,[1]OUT_TransportEnergyCons!H$4:H$10000)</f>
        <v>2.9467681031255302E-6</v>
      </c>
      <c r="K2124" s="1" cm="1">
        <f t="array" ref="K2124">SUMPRODUCT(("var_ncap"=[1]OUT_TransportEnergyCons!$B$4:$B$10000)*1,("-"=[1]OUT_TransportEnergyCons!$C$4:$C$10000)*1,ISNUMBER(SEARCH("T_C*h2o*s2",[1]OUT_TransportEnergyCons!$A$4:$A$10000))*1,[1]OUT_TransportEnergyCons!I$4:I$10000)</f>
        <v>3.4981194118433702E-6</v>
      </c>
    </row>
    <row r="2125" spans="2:11" x14ac:dyDescent="0.35">
      <c r="B2125" s="5" t="str">
        <f t="shared" si="1308"/>
        <v>SPS2</v>
      </c>
      <c r="C2125" s="5" t="str">
        <f t="shared" si="1309"/>
        <v>CH</v>
      </c>
      <c r="D2125" t="s">
        <v>2276</v>
      </c>
      <c r="E2125" t="str">
        <f t="shared" si="1310"/>
        <v>Million</v>
      </c>
      <c r="F2125" s="1" cm="1">
        <f t="array" ref="F2125">SUMPRODUCT(("var_ncap"=[1]OUT_TransportEnergyCons!$B$4:$B$10000)*1,("-"=[1]OUT_TransportEnergyCons!$C$4:$C$10000)*1,ISNUMBER(SEARCH("T_C*h2o*s3",[1]OUT_TransportEnergyCons!$A$4:$A$10000))*1,[1]OUT_TransportEnergyCons!D$4:D$10000)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SUMPRODUCT(("var_ncap"=[1]OUT_TransportEnergyCons!$B$4:$B$10000)*1,("-"=[1]OUT_TransportEnergyCons!$C$4:$C$10000)*1,ISNUMBER(SEARCH("T_C*h2o*s3",[1]OUT_TransportEnergyCons!$A$4:$A$10000))*1,[1]OUT_TransportEnergyCons!E$4:E$10000)</f>
        <v>3.2211134991586801E-6</v>
      </c>
      <c r="H2125" s="1" cm="1">
        <f t="array" ref="H2125">SUMPRODUCT(("var_ncap"=[1]OUT_TransportEnergyCons!$B$4:$B$10000)*1,("-"=[1]OUT_TransportEnergyCons!$C$4:$C$10000)*1,ISNUMBER(SEARCH("T_C*h2o*s3",[1]OUT_TransportEnergyCons!$A$4:$A$10000))*1,[1]OUT_TransportEnergyCons!F$4:F$10000)</f>
        <v>2.2140819216284799E-6</v>
      </c>
      <c r="I2125" s="1" cm="1">
        <f t="array" ref="I2125">SUMPRODUCT(("var_ncap"=[1]OUT_TransportEnergyCons!$B$4:$B$10000)*1,("-"=[1]OUT_TransportEnergyCons!$C$4:$C$10000)*1,ISNUMBER(SEARCH("T_C*h2o*s3",[1]OUT_TransportEnergyCons!$A$4:$A$10000))*1,[1]OUT_TransportEnergyCons!G$4:G$10000)</f>
        <v>1.0581965002083399E-6</v>
      </c>
      <c r="J2125" s="1" cm="1">
        <f t="array" ref="J2125">SUMPRODUCT(("var_ncap"=[1]OUT_TransportEnergyCons!$B$4:$B$10000)*1,("-"=[1]OUT_TransportEnergyCons!$C$4:$C$10000)*1,ISNUMBER(SEARCH("T_C*h2o*s3",[1]OUT_TransportEnergyCons!$A$4:$A$10000))*1,[1]OUT_TransportEnergyCons!H$4:H$10000)</f>
        <v>2.52725851579768E-6</v>
      </c>
      <c r="K2125" s="1" cm="1">
        <f t="array" ref="K2125">SUMPRODUCT(("var_ncap"=[1]OUT_TransportEnergyCons!$B$4:$B$10000)*1,("-"=[1]OUT_TransportEnergyCons!$C$4:$C$10000)*1,ISNUMBER(SEARCH("T_C*h2o*s3",[1]OUT_TransportEnergyCons!$A$4:$A$10000))*1,[1]OUT_TransportEnergyCons!I$4:I$10000)</f>
        <v>3.46118783894322E-6</v>
      </c>
    </row>
    <row r="2126" spans="2:11" x14ac:dyDescent="0.35">
      <c r="B2126" s="5" t="str">
        <f t="shared" si="1308"/>
        <v>SPS2</v>
      </c>
      <c r="C2126" s="5" t="str">
        <f t="shared" si="1309"/>
        <v>CH</v>
      </c>
      <c r="D2126" t="s">
        <v>2277</v>
      </c>
      <c r="E2126" t="str">
        <f t="shared" si="1310"/>
        <v>Million</v>
      </c>
      <c r="F2126" s="1" cm="1">
        <f t="array" ref="F2126">SUMPRODUCT(("var_ncap"=[1]OUT_TransportEnergyCons!$B$4:$B$10000)*1,("-"=[1]OUT_TransportEnergyCons!$C$4:$C$10000)*1,ISNUMBER(SEARCH("T_C*h2o*s4",[1]OUT_TransportEnergyCons!$A$4:$A$10000))*1,[1]OUT_TransportEnergyCons!D$4:D$10000)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SUMPRODUCT(("var_ncap"=[1]OUT_TransportEnergyCons!$B$4:$B$10000)*1,("-"=[1]OUT_TransportEnergyCons!$C$4:$C$10000)*1,ISNUMBER(SEARCH("T_C*h2o*s4",[1]OUT_TransportEnergyCons!$A$4:$A$10000))*1,[1]OUT_TransportEnergyCons!E$4:E$10000)</f>
        <v>4.4754064676458103E-6</v>
      </c>
      <c r="H2126" s="1" cm="1">
        <f t="array" ref="H2126">SUMPRODUCT(("var_ncap"=[1]OUT_TransportEnergyCons!$B$4:$B$10000)*1,("-"=[1]OUT_TransportEnergyCons!$C$4:$C$10000)*1,ISNUMBER(SEARCH("T_C*h2o*s4",[1]OUT_TransportEnergyCons!$A$4:$A$10000))*1,[1]OUT_TransportEnergyCons!F$4:F$10000)</f>
        <v>3.2356710957086499E-6</v>
      </c>
      <c r="I2126" s="1" cm="1">
        <f t="array" ref="I2126">SUMPRODUCT(("var_ncap"=[1]OUT_TransportEnergyCons!$B$4:$B$10000)*1,("-"=[1]OUT_TransportEnergyCons!$C$4:$C$10000)*1,ISNUMBER(SEARCH("T_C*h2o*s4",[1]OUT_TransportEnergyCons!$A$4:$A$10000))*1,[1]OUT_TransportEnergyCons!G$4:G$10000)</f>
        <v>1.26517034873135E-6</v>
      </c>
      <c r="J2126" s="1" cm="1">
        <f t="array" ref="J2126">SUMPRODUCT(("var_ncap"=[1]OUT_TransportEnergyCons!$B$4:$B$10000)*1,("-"=[1]OUT_TransportEnergyCons!$C$4:$C$10000)*1,ISNUMBER(SEARCH("T_C*h2o*s4",[1]OUT_TransportEnergyCons!$A$4:$A$10000))*1,[1]OUT_TransportEnergyCons!H$4:H$10000)</f>
        <v>3.0393216196531899E-6</v>
      </c>
      <c r="K2126" s="1" cm="1">
        <f t="array" ref="K2126">SUMPRODUCT(("var_ncap"=[1]OUT_TransportEnergyCons!$B$4:$B$10000)*1,("-"=[1]OUT_TransportEnergyCons!$C$4:$C$10000)*1,ISNUMBER(SEARCH("T_C*h2o*s4",[1]OUT_TransportEnergyCons!$A$4:$A$10000))*1,[1]OUT_TransportEnergyCons!I$4:I$10000)</f>
        <v>4.1285523257103001E-6</v>
      </c>
    </row>
    <row r="2127" spans="2:11" x14ac:dyDescent="0.35">
      <c r="B2127" s="5" t="str">
        <f t="shared" si="1308"/>
        <v>SPS2</v>
      </c>
      <c r="C2127" s="5" t="str">
        <f t="shared" si="1309"/>
        <v>CH</v>
      </c>
      <c r="D2127" t="s">
        <v>2278</v>
      </c>
      <c r="E2127" t="str">
        <f t="shared" si="1310"/>
        <v>Million</v>
      </c>
      <c r="F2127" s="1" cm="1">
        <f t="array" ref="F2127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27" s="1" cm="1">
        <f t="array" ref="H2127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27" s="1" cm="1">
        <f t="array" ref="I2127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27" s="1" cm="1">
        <f t="array" ref="J2127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27" s="1" cm="1">
        <f t="array" ref="K2127">SUMPRODUCT(("var_ncap"=[1]OUT_TransportEnergyCons!$B$4:$B$10000)*1,("-"=[1]OUT_TransportEnergyCons!$C$4:$C$10000)*1,ISNUMBER(SEARCH("T_C*hy*GSL*ext",[1]OUT_TransportEnergyCons!$A$4:$A$10000))*1,[1]OUT_TransportEnergyCons!I$4:I$10000)</f>
        <v>0</v>
      </c>
    </row>
    <row r="2128" spans="2:11" x14ac:dyDescent="0.35">
      <c r="B2128" s="5" t="str">
        <f t="shared" si="1308"/>
        <v>SPS2</v>
      </c>
      <c r="C2128" s="5" t="str">
        <f t="shared" si="1309"/>
        <v>CH</v>
      </c>
      <c r="D2128" t="s">
        <v>2279</v>
      </c>
      <c r="E2128" t="str">
        <f t="shared" si="1310"/>
        <v>Million</v>
      </c>
      <c r="F2128" s="1" cm="1">
        <f t="array" ref="F2128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SUMPRODUCT(("var_ncap"=[1]OUT_TransportEnergyCons!$B$4:$B$10000)*1,("-"=[1]OUT_TransportEnergyCons!$C$4:$C$10000)*1,ISNUMBER(SEARCH("T_C*hy*GSL*s1",[1]OUT_TransportEnergyCons!$A$4:$A$10000))*1,[1]OUT_TransportEnergyCons!E$4:E$10000)</f>
        <v>5.6447259148267393E-4</v>
      </c>
      <c r="H2128" s="1" cm="1">
        <f t="array" ref="H2128">SUMPRODUCT(("var_ncap"=[1]OUT_TransportEnergyCons!$B$4:$B$10000)*1,("-"=[1]OUT_TransportEnergyCons!$C$4:$C$10000)*1,ISNUMBER(SEARCH("T_C*hy*GSL*s1",[1]OUT_TransportEnergyCons!$A$4:$A$10000))*1,[1]OUT_TransportEnergyCons!F$4:F$10000)</f>
        <v>2.7166994131211462E-4</v>
      </c>
      <c r="I2128" s="1" cm="1">
        <f t="array" ref="I2128">SUMPRODUCT(("var_ncap"=[1]OUT_TransportEnergyCons!$B$4:$B$10000)*1,("-"=[1]OUT_TransportEnergyCons!$C$4:$C$10000)*1,ISNUMBER(SEARCH("T_C*hy*GSL*s1",[1]OUT_TransportEnergyCons!$A$4:$A$10000))*1,[1]OUT_TransportEnergyCons!G$4:G$10000)</f>
        <v>1.846058030109232E-4</v>
      </c>
      <c r="J2128" s="1" cm="1">
        <f t="array" ref="J2128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28" s="1" cm="1">
        <f t="array" ref="K2128">SUMPRODUCT(("var_ncap"=[1]OUT_TransportEnergyCons!$B$4:$B$10000)*1,("-"=[1]OUT_TransportEnergyCons!$C$4:$C$10000)*1,ISNUMBER(SEARCH("T_C*hy*GSL*s1",[1]OUT_TransportEnergyCons!$A$4:$A$10000))*1,[1]OUT_TransportEnergyCons!I$4:I$10000)</f>
        <v>0</v>
      </c>
    </row>
    <row r="2129" spans="2:11" x14ac:dyDescent="0.35">
      <c r="B2129" s="5" t="str">
        <f t="shared" si="1308"/>
        <v>SPS2</v>
      </c>
      <c r="C2129" s="5" t="str">
        <f t="shared" si="1309"/>
        <v>CH</v>
      </c>
      <c r="D2129" t="s">
        <v>2280</v>
      </c>
      <c r="E2129" t="str">
        <f t="shared" si="1310"/>
        <v>Million</v>
      </c>
      <c r="F2129" s="1" cm="1">
        <f t="array" ref="F2129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SUMPRODUCT(("var_ncap"=[1]OUT_TransportEnergyCons!$B$4:$B$10000)*1,("-"=[1]OUT_TransportEnergyCons!$C$4:$C$10000)*1,ISNUMBER(SEARCH("T_C*hy*GSL*s2",[1]OUT_TransportEnergyCons!$A$4:$A$10000))*1,[1]OUT_TransportEnergyCons!E$4:E$10000)</f>
        <v>2.0471731240906055E-2</v>
      </c>
      <c r="H2129" s="1" cm="1">
        <f t="array" ref="H2129">SUMPRODUCT(("var_ncap"=[1]OUT_TransportEnergyCons!$B$4:$B$10000)*1,("-"=[1]OUT_TransportEnergyCons!$C$4:$C$10000)*1,ISNUMBER(SEARCH("T_C*hy*GSL*s2",[1]OUT_TransportEnergyCons!$A$4:$A$10000))*1,[1]OUT_TransportEnergyCons!F$4:F$10000)</f>
        <v>8.9538892486201616E-2</v>
      </c>
      <c r="I2129" s="1" cm="1">
        <f t="array" ref="I2129">SUMPRODUCT(("var_ncap"=[1]OUT_TransportEnergyCons!$B$4:$B$10000)*1,("-"=[1]OUT_TransportEnergyCons!$C$4:$C$10000)*1,ISNUMBER(SEARCH("T_C*hy*GSL*s2",[1]OUT_TransportEnergyCons!$A$4:$A$10000))*1,[1]OUT_TransportEnergyCons!G$4:G$10000)</f>
        <v>8.22509172986E-5</v>
      </c>
      <c r="J2129" s="1" cm="1">
        <f t="array" ref="J2129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29" s="1" cm="1">
        <f t="array" ref="K2129">SUMPRODUCT(("var_ncap"=[1]OUT_TransportEnergyCons!$B$4:$B$10000)*1,("-"=[1]OUT_TransportEnergyCons!$C$4:$C$10000)*1,ISNUMBER(SEARCH("T_C*hy*GSL*s2",[1]OUT_TransportEnergyCons!$A$4:$A$10000))*1,[1]OUT_TransportEnergyCons!I$4:I$10000)</f>
        <v>0</v>
      </c>
    </row>
    <row r="2130" spans="2:11" x14ac:dyDescent="0.35">
      <c r="B2130" s="5" t="str">
        <f t="shared" si="1308"/>
        <v>SPS2</v>
      </c>
      <c r="C2130" s="5" t="str">
        <f t="shared" si="1309"/>
        <v>CH</v>
      </c>
      <c r="D2130" t="s">
        <v>2281</v>
      </c>
      <c r="E2130" t="str">
        <f t="shared" si="1310"/>
        <v>Million</v>
      </c>
      <c r="F2130" s="1" cm="1">
        <f t="array" ref="F2130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SUMPRODUCT(("var_ncap"=[1]OUT_TransportEnergyCons!$B$4:$B$10000)*1,("-"=[1]OUT_TransportEnergyCons!$C$4:$C$10000)*1,ISNUMBER(SEARCH("T_C*hy*GSL*s3",[1]OUT_TransportEnergyCons!$A$4:$A$10000))*1,[1]OUT_TransportEnergyCons!E$4:E$10000)</f>
        <v>0.17246538165737554</v>
      </c>
      <c r="H2130" s="1" cm="1">
        <f t="array" ref="H2130">SUMPRODUCT(("var_ncap"=[1]OUT_TransportEnergyCons!$B$4:$B$10000)*1,("-"=[1]OUT_TransportEnergyCons!$C$4:$C$10000)*1,ISNUMBER(SEARCH("T_C*hy*GSL*s3",[1]OUT_TransportEnergyCons!$A$4:$A$10000))*1,[1]OUT_TransportEnergyCons!F$4:F$10000)</f>
        <v>1.941892154175159E-4</v>
      </c>
      <c r="I2130" s="1" cm="1">
        <f t="array" ref="I2130">SUMPRODUCT(("var_ncap"=[1]OUT_TransportEnergyCons!$B$4:$B$10000)*1,("-"=[1]OUT_TransportEnergyCons!$C$4:$C$10000)*1,ISNUMBER(SEARCH("T_C*hy*GSL*s3",[1]OUT_TransportEnergyCons!$A$4:$A$10000))*1,[1]OUT_TransportEnergyCons!G$4:G$10000)</f>
        <v>5.2658964387598096E-5</v>
      </c>
      <c r="J2130" s="1" cm="1">
        <f t="array" ref="J2130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0" s="1" cm="1">
        <f t="array" ref="K2130">SUMPRODUCT(("var_ncap"=[1]OUT_TransportEnergyCons!$B$4:$B$10000)*1,("-"=[1]OUT_TransportEnergyCons!$C$4:$C$10000)*1,ISNUMBER(SEARCH("T_C*hy*GSL*s3",[1]OUT_TransportEnergyCons!$A$4:$A$10000))*1,[1]OUT_TransportEnergyCons!I$4:I$10000)</f>
        <v>0</v>
      </c>
    </row>
    <row r="2131" spans="2:11" x14ac:dyDescent="0.35">
      <c r="B2131" s="5" t="str">
        <f t="shared" si="1308"/>
        <v>SPS2</v>
      </c>
      <c r="C2131" s="5" t="str">
        <f t="shared" si="1309"/>
        <v>CH</v>
      </c>
      <c r="D2131" t="s">
        <v>2282</v>
      </c>
      <c r="E2131" t="str">
        <f t="shared" si="1310"/>
        <v>Million</v>
      </c>
      <c r="F2131" s="1" cm="1">
        <f t="array" ref="F2131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SUMPRODUCT(("var_ncap"=[1]OUT_TransportEnergyCons!$B$4:$B$10000)*1,("-"=[1]OUT_TransportEnergyCons!$C$4:$C$10000)*1,ISNUMBER(SEARCH("T_C*hy*GSL*s4",[1]OUT_TransportEnergyCons!$A$4:$A$10000))*1,[1]OUT_TransportEnergyCons!E$4:E$10000)</f>
        <v>3.6012298500287944E-4</v>
      </c>
      <c r="H2131" s="1" cm="1">
        <f t="array" ref="H2131">SUMPRODUCT(("var_ncap"=[1]OUT_TransportEnergyCons!$B$4:$B$10000)*1,("-"=[1]OUT_TransportEnergyCons!$C$4:$C$10000)*1,ISNUMBER(SEARCH("T_C*hy*GSL*s4",[1]OUT_TransportEnergyCons!$A$4:$A$10000))*1,[1]OUT_TransportEnergyCons!F$4:F$10000)</f>
        <v>2.0827934848806749E-4</v>
      </c>
      <c r="I2131" s="1" cm="1">
        <f t="array" ref="I2131">SUMPRODUCT(("var_ncap"=[1]OUT_TransportEnergyCons!$B$4:$B$10000)*1,("-"=[1]OUT_TransportEnergyCons!$C$4:$C$10000)*1,ISNUMBER(SEARCH("T_C*hy*GSL*s4",[1]OUT_TransportEnergyCons!$A$4:$A$10000))*1,[1]OUT_TransportEnergyCons!G$4:G$10000)</f>
        <v>6.6492260639239195E-5</v>
      </c>
      <c r="J2131" s="1" cm="1">
        <f t="array" ref="J2131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1" s="1" cm="1">
        <f t="array" ref="K2131">SUMPRODUCT(("var_ncap"=[1]OUT_TransportEnergyCons!$B$4:$B$10000)*1,("-"=[1]OUT_TransportEnergyCons!$C$4:$C$10000)*1,ISNUMBER(SEARCH("T_C*hy*GSL*s4",[1]OUT_TransportEnergyCons!$A$4:$A$10000))*1,[1]OUT_TransportEnergyCons!I$4:I$10000)</f>
        <v>0</v>
      </c>
    </row>
    <row r="2132" spans="2:11" x14ac:dyDescent="0.35">
      <c r="B2132" s="5" t="str">
        <f t="shared" si="1308"/>
        <v>SPS2</v>
      </c>
      <c r="C2132" s="5" t="str">
        <f t="shared" si="1309"/>
        <v>CH</v>
      </c>
      <c r="D2132" t="s">
        <v>2283</v>
      </c>
      <c r="E2132" t="str">
        <f t="shared" si="1310"/>
        <v>Million</v>
      </c>
      <c r="F2132" s="1" cm="1">
        <f t="array" ref="F2132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SUMPRODUCT(("var_ncap"=[1]OUT_TransportEnergyCons!$B$4:$B$10000)*1,("-"=[1]OUT_TransportEnergyCons!$C$4:$C$10000)*1,ISNUMBER(SEARCH("T_C*ICE*GSL*ext",[1]OUT_TransportEnergyCons!$A$4:$A$10000))*1,[1]OUT_TransportEnergyCons!I$4:I$10000)</f>
        <v>0</v>
      </c>
    </row>
    <row r="2133" spans="2:11" x14ac:dyDescent="0.35">
      <c r="B2133" s="5" t="str">
        <f t="shared" si="1308"/>
        <v>SPS2</v>
      </c>
      <c r="C2133" s="5" t="str">
        <f t="shared" si="1309"/>
        <v>CH</v>
      </c>
      <c r="D2133" t="s">
        <v>2284</v>
      </c>
      <c r="E2133" t="str">
        <f t="shared" si="1310"/>
        <v>Million</v>
      </c>
      <c r="F2133" s="1" cm="1">
        <f t="array" ref="F2133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SUMPRODUCT(("var_ncap"=[1]OUT_TransportEnergyCons!$B$4:$B$10000)*1,("-"=[1]OUT_TransportEnergyCons!$C$4:$C$10000)*1,ISNUMBER(SEARCH("T_C*ICE*GSL*s1",[1]OUT_TransportEnergyCons!$A$4:$A$10000))*1,[1]OUT_TransportEnergyCons!E$4:E$10000)</f>
        <v>5.0251642808966902E-4</v>
      </c>
      <c r="H2133" s="1" cm="1">
        <f t="array" ref="H2133">SUMPRODUCT(("var_ncap"=[1]OUT_TransportEnergyCons!$B$4:$B$10000)*1,("-"=[1]OUT_TransportEnergyCons!$C$4:$C$10000)*1,ISNUMBER(SEARCH("T_C*ICE*GSL*s1",[1]OUT_TransportEnergyCons!$A$4:$A$10000))*1,[1]OUT_TransportEnergyCons!F$4:F$10000)</f>
        <v>8.3485213951086407E-2</v>
      </c>
      <c r="I2133" s="1" cm="1">
        <f t="array" ref="I2133">SUMPRODUCT(("var_ncap"=[1]OUT_TransportEnergyCons!$B$4:$B$10000)*1,("-"=[1]OUT_TransportEnergyCons!$C$4:$C$10000)*1,ISNUMBER(SEARCH("T_C*ICE*GSL*s1",[1]OUT_TransportEnergyCons!$A$4:$A$10000))*1,[1]OUT_TransportEnergyCons!G$4:G$10000)</f>
        <v>9.9639734560101397E-5</v>
      </c>
      <c r="J2133" s="1" cm="1">
        <f t="array" ref="J2133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SUMPRODUCT(("var_ncap"=[1]OUT_TransportEnergyCons!$B$4:$B$10000)*1,("-"=[1]OUT_TransportEnergyCons!$C$4:$C$10000)*1,ISNUMBER(SEARCH("T_C*ICE*GSL*s1",[1]OUT_TransportEnergyCons!$A$4:$A$10000))*1,[1]OUT_TransportEnergyCons!I$4:I$10000)</f>
        <v>0</v>
      </c>
    </row>
    <row r="2134" spans="2:11" x14ac:dyDescent="0.35">
      <c r="B2134" s="5" t="str">
        <f t="shared" si="1308"/>
        <v>SPS2</v>
      </c>
      <c r="C2134" s="5" t="str">
        <f t="shared" si="1309"/>
        <v>CH</v>
      </c>
      <c r="D2134" t="s">
        <v>2285</v>
      </c>
      <c r="E2134" t="str">
        <f t="shared" si="1310"/>
        <v>Million</v>
      </c>
      <c r="F2134" s="1" cm="1">
        <f t="array" ref="F2134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SUMPRODUCT(("var_ncap"=[1]OUT_TransportEnergyCons!$B$4:$B$10000)*1,("-"=[1]OUT_TransportEnergyCons!$C$4:$C$10000)*1,ISNUMBER(SEARCH("T_C*ICE*GSL*s2",[1]OUT_TransportEnergyCons!$A$4:$A$10000))*1,[1]OUT_TransportEnergyCons!E$4:E$10000)</f>
        <v>1.24253583589547E-4</v>
      </c>
      <c r="H2134" s="1" cm="1">
        <f t="array" ref="H2134">SUMPRODUCT(("var_ncap"=[1]OUT_TransportEnergyCons!$B$4:$B$10000)*1,("-"=[1]OUT_TransportEnergyCons!$C$4:$C$10000)*1,ISNUMBER(SEARCH("T_C*ICE*GSL*s2",[1]OUT_TransportEnergyCons!$A$4:$A$10000))*1,[1]OUT_TransportEnergyCons!F$4:F$10000)</f>
        <v>0.123768628418693</v>
      </c>
      <c r="I2134" s="1" cm="1">
        <f t="array" ref="I2134">SUMPRODUCT(("var_ncap"=[1]OUT_TransportEnergyCons!$B$4:$B$10000)*1,("-"=[1]OUT_TransportEnergyCons!$C$4:$C$10000)*1,ISNUMBER(SEARCH("T_C*ICE*GSL*s2",[1]OUT_TransportEnergyCons!$A$4:$A$10000))*1,[1]OUT_TransportEnergyCons!G$4:G$10000)</f>
        <v>4.0034244793119901E-5</v>
      </c>
      <c r="J2134" s="1" cm="1">
        <f t="array" ref="J2134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SUMPRODUCT(("var_ncap"=[1]OUT_TransportEnergyCons!$B$4:$B$10000)*1,("-"=[1]OUT_TransportEnergyCons!$C$4:$C$10000)*1,ISNUMBER(SEARCH("T_C*ICE*GSL*s2",[1]OUT_TransportEnergyCons!$A$4:$A$10000))*1,[1]OUT_TransportEnergyCons!I$4:I$10000)</f>
        <v>0</v>
      </c>
    </row>
    <row r="2135" spans="2:11" x14ac:dyDescent="0.35">
      <c r="B2135" s="5" t="str">
        <f t="shared" si="1308"/>
        <v>SPS2</v>
      </c>
      <c r="C2135" s="5" t="str">
        <f t="shared" si="1309"/>
        <v>CH</v>
      </c>
      <c r="D2135" t="s">
        <v>2286</v>
      </c>
      <c r="E2135" t="str">
        <f t="shared" si="1310"/>
        <v>Million</v>
      </c>
      <c r="F2135" s="1" cm="1">
        <f t="array" ref="F2135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SUMPRODUCT(("var_ncap"=[1]OUT_TransportEnergyCons!$B$4:$B$10000)*1,("-"=[1]OUT_TransportEnergyCons!$C$4:$C$10000)*1,ISNUMBER(SEARCH("T_C*ICE*GSL*s3",[1]OUT_TransportEnergyCons!$A$4:$A$10000))*1,[1]OUT_TransportEnergyCons!E$4:E$10000)</f>
        <v>2.1071067457138301E-4</v>
      </c>
      <c r="H2135" s="1" cm="1">
        <f t="array" ref="H2135">SUMPRODUCT(("var_ncap"=[1]OUT_TransportEnergyCons!$B$4:$B$10000)*1,("-"=[1]OUT_TransportEnergyCons!$C$4:$C$10000)*1,ISNUMBER(SEARCH("T_C*ICE*GSL*s3",[1]OUT_TransportEnergyCons!$A$4:$A$10000))*1,[1]OUT_TransportEnergyCons!F$4:F$10000)</f>
        <v>6.8301581226446102E-4</v>
      </c>
      <c r="I2135" s="1" cm="1">
        <f t="array" ref="I2135">SUMPRODUCT(("var_ncap"=[1]OUT_TransportEnergyCons!$B$4:$B$10000)*1,("-"=[1]OUT_TransportEnergyCons!$C$4:$C$10000)*1,ISNUMBER(SEARCH("T_C*ICE*GSL*s3",[1]OUT_TransportEnergyCons!$A$4:$A$10000))*1,[1]OUT_TransportEnergyCons!G$4:G$10000)</f>
        <v>3.2016164123077697E-5</v>
      </c>
      <c r="J2135" s="1" cm="1">
        <f t="array" ref="J2135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SUMPRODUCT(("var_ncap"=[1]OUT_TransportEnergyCons!$B$4:$B$10000)*1,("-"=[1]OUT_TransportEnergyCons!$C$4:$C$10000)*1,ISNUMBER(SEARCH("T_C*ICE*GSL*s3",[1]OUT_TransportEnergyCons!$A$4:$A$10000))*1,[1]OUT_TransportEnergyCons!I$4:I$10000)</f>
        <v>0</v>
      </c>
    </row>
    <row r="2136" spans="2:11" x14ac:dyDescent="0.35">
      <c r="B2136" s="5" t="str">
        <f t="shared" si="1308"/>
        <v>SPS2</v>
      </c>
      <c r="C2136" s="5" t="str">
        <f t="shared" si="1309"/>
        <v>CH</v>
      </c>
      <c r="D2136" t="s">
        <v>2287</v>
      </c>
      <c r="E2136" t="str">
        <f t="shared" si="1310"/>
        <v>Million</v>
      </c>
      <c r="F2136" s="1" cm="1">
        <f t="array" ref="F2136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SUMPRODUCT(("var_ncap"=[1]OUT_TransportEnergyCons!$B$4:$B$10000)*1,("-"=[1]OUT_TransportEnergyCons!$C$4:$C$10000)*1,ISNUMBER(SEARCH("T_C*ICE*GSL*s4",[1]OUT_TransportEnergyCons!$A$4:$A$10000))*1,[1]OUT_TransportEnergyCons!E$4:E$10000)</f>
        <v>1.48028369439607E-4</v>
      </c>
      <c r="H2136" s="1" cm="1">
        <f t="array" ref="H2136">SUMPRODUCT(("var_ncap"=[1]OUT_TransportEnergyCons!$B$4:$B$10000)*1,("-"=[1]OUT_TransportEnergyCons!$C$4:$C$10000)*1,ISNUMBER(SEARCH("T_C*ICE*GSL*s4",[1]OUT_TransportEnergyCons!$A$4:$A$10000))*1,[1]OUT_TransportEnergyCons!F$4:F$10000)</f>
        <v>9.1936003731665203E-2</v>
      </c>
      <c r="I2136" s="1" cm="1">
        <f t="array" ref="I2136">SUMPRODUCT(("var_ncap"=[1]OUT_TransportEnergyCons!$B$4:$B$10000)*1,("-"=[1]OUT_TransportEnergyCons!$C$4:$C$10000)*1,ISNUMBER(SEARCH("T_C*ICE*GSL*s4",[1]OUT_TransportEnergyCons!$A$4:$A$10000))*1,[1]OUT_TransportEnergyCons!G$4:G$10000)</f>
        <v>4.3488924079094197E-5</v>
      </c>
      <c r="J2136" s="1" cm="1">
        <f t="array" ref="J2136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SUMPRODUCT(("var_ncap"=[1]OUT_TransportEnergyCons!$B$4:$B$10000)*1,("-"=[1]OUT_TransportEnergyCons!$C$4:$C$10000)*1,ISNUMBER(SEARCH("T_C*ICE*GSL*s4",[1]OUT_TransportEnergyCons!$A$4:$A$10000))*1,[1]OUT_TransportEnergyCons!I$4:I$10000)</f>
        <v>0</v>
      </c>
    </row>
    <row r="2137" spans="2:11" x14ac:dyDescent="0.35">
      <c r="B2137" s="5" t="str">
        <f t="shared" si="1308"/>
        <v>SPS2</v>
      </c>
      <c r="C2137" s="5" t="str">
        <f t="shared" si="1309"/>
        <v>CH</v>
      </c>
      <c r="D2137" t="s">
        <v>2288</v>
      </c>
      <c r="E2137" t="str">
        <f t="shared" si="1310"/>
        <v>Million</v>
      </c>
      <c r="F2137" s="1" cm="1">
        <f t="array" ref="F2137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SUMPRODUCT(("var_ncap"=[1]OUT_TransportEnergyCons!$B$4:$B$10000)*1,("-"=[1]OUT_TransportEnergyCons!$C$4:$C$10000)*1,ISNUMBER(SEARCH("T_C*mhy*GSL*s1",[1]OUT_TransportEnergyCons!$A$4:$A$10000))*1,[1]OUT_TransportEnergyCons!E$4:E$10000)</f>
        <v>6.5402323035059905E-5</v>
      </c>
      <c r="H2137" s="1" cm="1">
        <f t="array" ref="H2137">SUMPRODUCT(("var_ncap"=[1]OUT_TransportEnergyCons!$B$4:$B$10000)*1,("-"=[1]OUT_TransportEnergyCons!$C$4:$C$10000)*1,ISNUMBER(SEARCH("T_C*mhy*GSL*s1",[1]OUT_TransportEnergyCons!$A$4:$A$10000))*1,[1]OUT_TransportEnergyCons!F$4:F$10000)</f>
        <v>9.4726008902402606E-5</v>
      </c>
      <c r="I2137" s="1" cm="1">
        <f t="array" ref="I2137">SUMPRODUCT(("var_ncap"=[1]OUT_TransportEnergyCons!$B$4:$B$10000)*1,("-"=[1]OUT_TransportEnergyCons!$C$4:$C$10000)*1,ISNUMBER(SEARCH("T_C*mhy*GSL*s1",[1]OUT_TransportEnergyCons!$A$4:$A$10000))*1,[1]OUT_TransportEnergyCons!G$4:G$10000)</f>
        <v>7.80007386652852E-5</v>
      </c>
      <c r="J2137" s="1" cm="1">
        <f t="array" ref="J2137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SUMPRODUCT(("var_ncap"=[1]OUT_TransportEnergyCons!$B$4:$B$10000)*1,("-"=[1]OUT_TransportEnergyCons!$C$4:$C$10000)*1,ISNUMBER(SEARCH("T_C*mhy*GSL*s1",[1]OUT_TransportEnergyCons!$A$4:$A$10000))*1,[1]OUT_TransportEnergyCons!I$4:I$10000)</f>
        <v>0</v>
      </c>
    </row>
    <row r="2138" spans="2:11" x14ac:dyDescent="0.35">
      <c r="B2138" s="5" t="str">
        <f t="shared" si="1308"/>
        <v>SPS2</v>
      </c>
      <c r="C2138" s="5" t="str">
        <f t="shared" si="1309"/>
        <v>CH</v>
      </c>
      <c r="D2138" t="s">
        <v>2289</v>
      </c>
      <c r="E2138" t="str">
        <f t="shared" si="1310"/>
        <v>Million</v>
      </c>
      <c r="F2138" s="1" cm="1">
        <f t="array" ref="F2138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SUMPRODUCT(("var_ncap"=[1]OUT_TransportEnergyCons!$B$4:$B$10000)*1,("-"=[1]OUT_TransportEnergyCons!$C$4:$C$10000)*1,ISNUMBER(SEARCH("T_C*mhy*GSL*s2",[1]OUT_TransportEnergyCons!$A$4:$A$10000))*1,[1]OUT_TransportEnergyCons!E$4:E$10000)</f>
        <v>2.97329394194571E-5</v>
      </c>
      <c r="H2138" s="1" cm="1">
        <f t="array" ref="H2138">SUMPRODUCT(("var_ncap"=[1]OUT_TransportEnergyCons!$B$4:$B$10000)*1,("-"=[1]OUT_TransportEnergyCons!$C$4:$C$10000)*1,ISNUMBER(SEARCH("T_C*mhy*GSL*s2",[1]OUT_TransportEnergyCons!$A$4:$A$10000))*1,[1]OUT_TransportEnergyCons!F$4:F$10000)</f>
        <v>6.4458273542912102E-5</v>
      </c>
      <c r="I2138" s="1" cm="1">
        <f t="array" ref="I2138">SUMPRODUCT(("var_ncap"=[1]OUT_TransportEnergyCons!$B$4:$B$10000)*1,("-"=[1]OUT_TransportEnergyCons!$C$4:$C$10000)*1,ISNUMBER(SEARCH("T_C*mhy*GSL*s2",[1]OUT_TransportEnergyCons!$A$4:$A$10000))*1,[1]OUT_TransportEnergyCons!G$4:G$10000)</f>
        <v>3.4377435509603301E-5</v>
      </c>
      <c r="J2138" s="1" cm="1">
        <f t="array" ref="J2138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SUMPRODUCT(("var_ncap"=[1]OUT_TransportEnergyCons!$B$4:$B$10000)*1,("-"=[1]OUT_TransportEnergyCons!$C$4:$C$10000)*1,ISNUMBER(SEARCH("T_C*mhy*GSL*s2",[1]OUT_TransportEnergyCons!$A$4:$A$10000))*1,[1]OUT_TransportEnergyCons!I$4:I$10000)</f>
        <v>0</v>
      </c>
    </row>
    <row r="2139" spans="2:11" x14ac:dyDescent="0.35">
      <c r="B2139" s="5" t="str">
        <f t="shared" si="1308"/>
        <v>SPS2</v>
      </c>
      <c r="C2139" s="5" t="str">
        <f t="shared" si="1309"/>
        <v>CH</v>
      </c>
      <c r="D2139" t="s">
        <v>2290</v>
      </c>
      <c r="E2139" t="str">
        <f t="shared" si="1310"/>
        <v>Million</v>
      </c>
      <c r="F2139" s="1" cm="1">
        <f t="array" ref="F2139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SUMPRODUCT(("var_ncap"=[1]OUT_TransportEnergyCons!$B$4:$B$10000)*1,("-"=[1]OUT_TransportEnergyCons!$C$4:$C$10000)*1,ISNUMBER(SEARCH("T_C*mhy*GSL*s3",[1]OUT_TransportEnergyCons!$A$4:$A$10000))*1,[1]OUT_TransportEnergyCons!E$4:E$10000)</f>
        <v>3.2222520588544201E-5</v>
      </c>
      <c r="H2139" s="1" cm="1">
        <f t="array" ref="H2139">SUMPRODUCT(("var_ncap"=[1]OUT_TransportEnergyCons!$B$4:$B$10000)*1,("-"=[1]OUT_TransportEnergyCons!$C$4:$C$10000)*1,ISNUMBER(SEARCH("T_C*mhy*GSL*s3",[1]OUT_TransportEnergyCons!$A$4:$A$10000))*1,[1]OUT_TransportEnergyCons!F$4:F$10000)</f>
        <v>5.5484896717114902E-5</v>
      </c>
      <c r="I2139" s="1" cm="1">
        <f t="array" ref="I2139">SUMPRODUCT(("var_ncap"=[1]OUT_TransportEnergyCons!$B$4:$B$10000)*1,("-"=[1]OUT_TransportEnergyCons!$C$4:$C$10000)*1,ISNUMBER(SEARCH("T_C*mhy*GSL*s3",[1]OUT_TransportEnergyCons!$A$4:$A$10000))*1,[1]OUT_TransportEnergyCons!G$4:G$10000)</f>
        <v>2.7841111406776799E-5</v>
      </c>
      <c r="J2139" s="1" cm="1">
        <f t="array" ref="J2139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SUMPRODUCT(("var_ncap"=[1]OUT_TransportEnergyCons!$B$4:$B$10000)*1,("-"=[1]OUT_TransportEnergyCons!$C$4:$C$10000)*1,ISNUMBER(SEARCH("T_C*mhy*GSL*s3",[1]OUT_TransportEnergyCons!$A$4:$A$10000))*1,[1]OUT_TransportEnergyCons!I$4:I$10000)</f>
        <v>0</v>
      </c>
    </row>
    <row r="2140" spans="2:11" x14ac:dyDescent="0.35">
      <c r="B2140" s="5" t="str">
        <f t="shared" si="1308"/>
        <v>SPS2</v>
      </c>
      <c r="C2140" s="5" t="str">
        <f t="shared" si="1309"/>
        <v>CH</v>
      </c>
      <c r="D2140" t="s">
        <v>2291</v>
      </c>
      <c r="E2140" t="str">
        <f t="shared" si="1310"/>
        <v>Million</v>
      </c>
      <c r="F2140" s="1" cm="1">
        <f t="array" ref="F2140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SUMPRODUCT(("var_ncap"=[1]OUT_TransportEnergyCons!$B$4:$B$10000)*1,("-"=[1]OUT_TransportEnergyCons!$C$4:$C$10000)*1,ISNUMBER(SEARCH("T_C*mhy*GSL*s4",[1]OUT_TransportEnergyCons!$A$4:$A$10000))*1,[1]OUT_TransportEnergyCons!E$4:E$10000)</f>
        <v>4.5472494730228397E-5</v>
      </c>
      <c r="H2140" s="1" cm="1">
        <f t="array" ref="H2140">SUMPRODUCT(("var_ncap"=[1]OUT_TransportEnergyCons!$B$4:$B$10000)*1,("-"=[1]OUT_TransportEnergyCons!$C$4:$C$10000)*1,ISNUMBER(SEARCH("T_C*mhy*GSL*s4",[1]OUT_TransportEnergyCons!$A$4:$A$10000))*1,[1]OUT_TransportEnergyCons!F$4:F$10000)</f>
        <v>8.5695570620754504E-5</v>
      </c>
      <c r="I2140" s="1" cm="1">
        <f t="array" ref="I2140">SUMPRODUCT(("var_ncap"=[1]OUT_TransportEnergyCons!$B$4:$B$10000)*1,("-"=[1]OUT_TransportEnergyCons!$C$4:$C$10000)*1,ISNUMBER(SEARCH("T_C*mhy*GSL*s4",[1]OUT_TransportEnergyCons!$A$4:$A$10000))*1,[1]OUT_TransportEnergyCons!G$4:G$10000)</f>
        <v>3.70374154434225E-5</v>
      </c>
      <c r="J2140" s="1" cm="1">
        <f t="array" ref="J2140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SUMPRODUCT(("var_ncap"=[1]OUT_TransportEnergyCons!$B$4:$B$10000)*1,("-"=[1]OUT_TransportEnergyCons!$C$4:$C$10000)*1,ISNUMBER(SEARCH("T_C*mhy*GSL*s4",[1]OUT_TransportEnergyCons!$A$4:$A$10000))*1,[1]OUT_TransportEnergyCons!I$4:I$10000)</f>
        <v>0</v>
      </c>
    </row>
    <row r="2141" spans="2:11" x14ac:dyDescent="0.35">
      <c r="B2141" s="5" t="str">
        <f t="shared" si="1308"/>
        <v>SPS2</v>
      </c>
      <c r="C2141" s="5" t="str">
        <f t="shared" si="1309"/>
        <v>CH</v>
      </c>
      <c r="D2141" t="s">
        <v>2292</v>
      </c>
      <c r="E2141" t="str">
        <f t="shared" si="1310"/>
        <v>Million</v>
      </c>
      <c r="F2141" s="1" cm="1">
        <f t="array" ref="F2141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1" s="1" cm="1">
        <f t="array" ref="H2141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1" s="1" cm="1">
        <f t="array" ref="I2141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1" s="1" cm="1">
        <f t="array" ref="J2141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SUMPRODUCT(("var_ncap"=[1]OUT_TransportEnergyCons!$B$4:$B$10000)*1,("-"=[1]OUT_TransportEnergyCons!$C$4:$C$10000)*1,ISNUMBER(SEARCH("T_C*hy*dsl*ext",[1]OUT_TransportEnergyCons!$A$4:$A$10000))*1,[1]OUT_TransportEnergyCons!I$4:I$10000)</f>
        <v>0</v>
      </c>
    </row>
    <row r="2142" spans="2:11" x14ac:dyDescent="0.35">
      <c r="B2142" s="5" t="str">
        <f t="shared" si="1308"/>
        <v>SPS2</v>
      </c>
      <c r="C2142" s="5" t="str">
        <f t="shared" si="1309"/>
        <v>CH</v>
      </c>
      <c r="D2142" t="s">
        <v>2293</v>
      </c>
      <c r="E2142" t="str">
        <f t="shared" si="1310"/>
        <v>Million</v>
      </c>
      <c r="F2142" s="1" cm="1">
        <f t="array" ref="F2142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SUMPRODUCT(("var_ncap"=[1]OUT_TransportEnergyCons!$B$4:$B$10000)*1,("-"=[1]OUT_TransportEnergyCons!$C$4:$C$10000)*1,ISNUMBER(SEARCH("T_C*hy*dsl*s1",[1]OUT_TransportEnergyCons!$A$4:$A$10000))*1,[1]OUT_TransportEnergyCons!E$4:E$10000)</f>
        <v>3.0149063990663326E-2</v>
      </c>
      <c r="H2142" s="1" cm="1">
        <f t="array" ref="H2142">SUMPRODUCT(("var_ncap"=[1]OUT_TransportEnergyCons!$B$4:$B$10000)*1,("-"=[1]OUT_TransportEnergyCons!$C$4:$C$10000)*1,ISNUMBER(SEARCH("T_C*hy*dsl*s1",[1]OUT_TransportEnergyCons!$A$4:$A$10000))*1,[1]OUT_TransportEnergyCons!F$4:F$10000)</f>
        <v>2.8097697137615513E-4</v>
      </c>
      <c r="I2142" s="1" cm="1">
        <f t="array" ref="I2142">SUMPRODUCT(("var_ncap"=[1]OUT_TransportEnergyCons!$B$4:$B$10000)*1,("-"=[1]OUT_TransportEnergyCons!$C$4:$C$10000)*1,ISNUMBER(SEARCH("T_C*hy*dsl*s1",[1]OUT_TransportEnergyCons!$A$4:$A$10000))*1,[1]OUT_TransportEnergyCons!G$4:G$10000)</f>
        <v>1.5148807011216691E-4</v>
      </c>
      <c r="J2142" s="1" cm="1">
        <f t="array" ref="J2142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SUMPRODUCT(("var_ncap"=[1]OUT_TransportEnergyCons!$B$4:$B$10000)*1,("-"=[1]OUT_TransportEnergyCons!$C$4:$C$10000)*1,ISNUMBER(SEARCH("T_C*hy*dsl*s1",[1]OUT_TransportEnergyCons!$A$4:$A$10000))*1,[1]OUT_TransportEnergyCons!I$4:I$10000)</f>
        <v>0</v>
      </c>
    </row>
    <row r="2143" spans="2:11" x14ac:dyDescent="0.35">
      <c r="B2143" s="5" t="str">
        <f t="shared" si="1308"/>
        <v>SPS2</v>
      </c>
      <c r="C2143" s="5" t="str">
        <f t="shared" si="1309"/>
        <v>CH</v>
      </c>
      <c r="D2143" t="s">
        <v>2294</v>
      </c>
      <c r="E2143" t="str">
        <f t="shared" si="1310"/>
        <v>Million</v>
      </c>
      <c r="F2143" s="1" cm="1">
        <f t="array" ref="F2143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SUMPRODUCT(("var_ncap"=[1]OUT_TransportEnergyCons!$B$4:$B$10000)*1,("-"=[1]OUT_TransportEnergyCons!$C$4:$C$10000)*1,ISNUMBER(SEARCH("T_C*hy*dsl*s2",[1]OUT_TransportEnergyCons!$A$4:$A$10000))*1,[1]OUT_TransportEnergyCons!E$4:E$10000)</f>
        <v>0.10739825963936908</v>
      </c>
      <c r="H2143" s="1" cm="1">
        <f t="array" ref="H2143">SUMPRODUCT(("var_ncap"=[1]OUT_TransportEnergyCons!$B$4:$B$10000)*1,("-"=[1]OUT_TransportEnergyCons!$C$4:$C$10000)*1,ISNUMBER(SEARCH("T_C*hy*dsl*s2",[1]OUT_TransportEnergyCons!$A$4:$A$10000))*1,[1]OUT_TransportEnergyCons!F$4:F$10000)</f>
        <v>0.11877955514871247</v>
      </c>
      <c r="I2143" s="1" cm="1">
        <f t="array" ref="I2143">SUMPRODUCT(("var_ncap"=[1]OUT_TransportEnergyCons!$B$4:$B$10000)*1,("-"=[1]OUT_TransportEnergyCons!$C$4:$C$10000)*1,ISNUMBER(SEARCH("T_C*hy*dsl*s2",[1]OUT_TransportEnergyCons!$A$4:$A$10000))*1,[1]OUT_TransportEnergyCons!G$4:G$10000)</f>
        <v>6.9272585935811694E-5</v>
      </c>
      <c r="J2143" s="1" cm="1">
        <f t="array" ref="J2143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SUMPRODUCT(("var_ncap"=[1]OUT_TransportEnergyCons!$B$4:$B$10000)*1,("-"=[1]OUT_TransportEnergyCons!$C$4:$C$10000)*1,ISNUMBER(SEARCH("T_C*hy*dsl*s2",[1]OUT_TransportEnergyCons!$A$4:$A$10000))*1,[1]OUT_TransportEnergyCons!I$4:I$10000)</f>
        <v>0</v>
      </c>
    </row>
    <row r="2144" spans="2:11" x14ac:dyDescent="0.35">
      <c r="B2144" s="5" t="str">
        <f t="shared" si="1308"/>
        <v>SPS2</v>
      </c>
      <c r="C2144" s="5" t="str">
        <f t="shared" si="1309"/>
        <v>CH</v>
      </c>
      <c r="D2144" t="s">
        <v>2295</v>
      </c>
      <c r="E2144" t="str">
        <f t="shared" si="1310"/>
        <v>Million</v>
      </c>
      <c r="F2144" s="1" cm="1">
        <f t="array" ref="F2144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SUMPRODUCT(("var_ncap"=[1]OUT_TransportEnergyCons!$B$4:$B$10000)*1,("-"=[1]OUT_TransportEnergyCons!$C$4:$C$10000)*1,ISNUMBER(SEARCH("T_C*hy*dsl*s3",[1]OUT_TransportEnergyCons!$A$4:$A$10000))*1,[1]OUT_TransportEnergyCons!E$4:E$10000)</f>
        <v>2.413383933418823E-4</v>
      </c>
      <c r="H2144" s="1" cm="1">
        <f t="array" ref="H2144">SUMPRODUCT(("var_ncap"=[1]OUT_TransportEnergyCons!$B$4:$B$10000)*1,("-"=[1]OUT_TransportEnergyCons!$C$4:$C$10000)*1,ISNUMBER(SEARCH("T_C*hy*dsl*s3",[1]OUT_TransportEnergyCons!$A$4:$A$10000))*1,[1]OUT_TransportEnergyCons!F$4:F$10000)</f>
        <v>1.348140427508563E-4</v>
      </c>
      <c r="I2144" s="1" cm="1">
        <f t="array" ref="I2144">SUMPRODUCT(("var_ncap"=[1]OUT_TransportEnergyCons!$B$4:$B$10000)*1,("-"=[1]OUT_TransportEnergyCons!$C$4:$C$10000)*1,ISNUMBER(SEARCH("T_C*hy*dsl*s3",[1]OUT_TransportEnergyCons!$A$4:$A$10000))*1,[1]OUT_TransportEnergyCons!G$4:G$10000)</f>
        <v>4.4436956505443399E-5</v>
      </c>
      <c r="J2144" s="1" cm="1">
        <f t="array" ref="J2144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SUMPRODUCT(("var_ncap"=[1]OUT_TransportEnergyCons!$B$4:$B$10000)*1,("-"=[1]OUT_TransportEnergyCons!$C$4:$C$10000)*1,ISNUMBER(SEARCH("T_C*hy*dsl*s3",[1]OUT_TransportEnergyCons!$A$4:$A$10000))*1,[1]OUT_TransportEnergyCons!I$4:I$10000)</f>
        <v>0</v>
      </c>
    </row>
    <row r="2145" spans="2:11" x14ac:dyDescent="0.35">
      <c r="B2145" s="5" t="str">
        <f t="shared" si="1308"/>
        <v>SPS2</v>
      </c>
      <c r="C2145" s="5" t="str">
        <f t="shared" si="1309"/>
        <v>CH</v>
      </c>
      <c r="D2145" t="s">
        <v>2296</v>
      </c>
      <c r="E2145" t="str">
        <f t="shared" si="1310"/>
        <v>Million</v>
      </c>
      <c r="F2145" s="1" cm="1">
        <f t="array" ref="F2145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SUMPRODUCT(("var_ncap"=[1]OUT_TransportEnergyCons!$B$4:$B$10000)*1,("-"=[1]OUT_TransportEnergyCons!$C$4:$C$10000)*1,ISNUMBER(SEARCH("T_C*hy*dsl*s4",[1]OUT_TransportEnergyCons!$A$4:$A$10000))*1,[1]OUT_TransportEnergyCons!E$4:E$10000)</f>
        <v>3.5164065328860861E-4</v>
      </c>
      <c r="H2145" s="1" cm="1">
        <f t="array" ref="H2145">SUMPRODUCT(("var_ncap"=[1]OUT_TransportEnergyCons!$B$4:$B$10000)*1,("-"=[1]OUT_TransportEnergyCons!$C$4:$C$10000)*1,ISNUMBER(SEARCH("T_C*hy*dsl*s4",[1]OUT_TransportEnergyCons!$A$4:$A$10000))*1,[1]OUT_TransportEnergyCons!F$4:F$10000)</f>
        <v>1.527553375440313E-4</v>
      </c>
      <c r="I2145" s="1" cm="1">
        <f t="array" ref="I2145">SUMPRODUCT(("var_ncap"=[1]OUT_TransportEnergyCons!$B$4:$B$10000)*1,("-"=[1]OUT_TransportEnergyCons!$C$4:$C$10000)*1,ISNUMBER(SEARCH("T_C*hy*dsl*s4",[1]OUT_TransportEnergyCons!$A$4:$A$10000))*1,[1]OUT_TransportEnergyCons!G$4:G$10000)</f>
        <v>4.5969551055825198E-5</v>
      </c>
      <c r="J2145" s="1" cm="1">
        <f t="array" ref="J2145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SUMPRODUCT(("var_ncap"=[1]OUT_TransportEnergyCons!$B$4:$B$10000)*1,("-"=[1]OUT_TransportEnergyCons!$C$4:$C$10000)*1,ISNUMBER(SEARCH("T_C*hy*dsl*s4",[1]OUT_TransportEnergyCons!$A$4:$A$10000))*1,[1]OUT_TransportEnergyCons!I$4:I$10000)</f>
        <v>0</v>
      </c>
    </row>
    <row r="2146" spans="2:11" x14ac:dyDescent="0.35">
      <c r="B2146" s="5" t="str">
        <f t="shared" si="1308"/>
        <v>SPS2</v>
      </c>
      <c r="C2146" s="5" t="str">
        <f t="shared" si="1309"/>
        <v>CH</v>
      </c>
      <c r="D2146" t="s">
        <v>2297</v>
      </c>
      <c r="E2146" t="str">
        <f t="shared" si="1310"/>
        <v>Million</v>
      </c>
      <c r="F2146" s="1" cm="1">
        <f t="array" ref="F2146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SUMPRODUCT(("var_ncap"=[1]OUT_TransportEnergyCons!$B$4:$B$10000)*1,("-"=[1]OUT_TransportEnergyCons!$C$4:$C$10000)*1,ISNUMBER(SEARCH("T_C*ICE*dsl*ext",[1]OUT_TransportEnergyCons!$A$4:$A$10000))*1,[1]OUT_TransportEnergyCons!I$4:I$10000)</f>
        <v>0</v>
      </c>
    </row>
    <row r="2147" spans="2:11" x14ac:dyDescent="0.35">
      <c r="B2147" s="5" t="str">
        <f t="shared" si="1308"/>
        <v>SPS2</v>
      </c>
      <c r="C2147" s="5" t="str">
        <f t="shared" si="1309"/>
        <v>CH</v>
      </c>
      <c r="D2147" t="s">
        <v>2298</v>
      </c>
      <c r="E2147" t="str">
        <f t="shared" si="1310"/>
        <v>Million</v>
      </c>
      <c r="F2147" s="1" cm="1">
        <f t="array" ref="F2147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SUMPRODUCT(("var_ncap"=[1]OUT_TransportEnergyCons!$B$4:$B$10000)*1,("-"=[1]OUT_TransportEnergyCons!$C$4:$C$10000)*1,ISNUMBER(SEARCH("T_C*ICE*dsl*s1",[1]OUT_TransportEnergyCons!$A$4:$A$10000))*1,[1]OUT_TransportEnergyCons!E$4:E$10000)</f>
        <v>2.61743203733339E-4</v>
      </c>
      <c r="H2147" s="1" cm="1">
        <f t="array" ref="H2147">SUMPRODUCT(("var_ncap"=[1]OUT_TransportEnergyCons!$B$4:$B$10000)*1,("-"=[1]OUT_TransportEnergyCons!$C$4:$C$10000)*1,ISNUMBER(SEARCH("T_C*ICE*dsl*s1",[1]OUT_TransportEnergyCons!$A$4:$A$10000))*1,[1]OUT_TransportEnergyCons!F$4:F$10000)</f>
        <v>1.76788111712436E-4</v>
      </c>
      <c r="I2147" s="1" cm="1">
        <f t="array" ref="I2147">SUMPRODUCT(("var_ncap"=[1]OUT_TransportEnergyCons!$B$4:$B$10000)*1,("-"=[1]OUT_TransportEnergyCons!$C$4:$C$10000)*1,ISNUMBER(SEARCH("T_C*ICE*dsl*s1",[1]OUT_TransportEnergyCons!$A$4:$A$10000))*1,[1]OUT_TransportEnergyCons!G$4:G$10000)</f>
        <v>5.22634130880576E-5</v>
      </c>
      <c r="J2147" s="1" cm="1">
        <f t="array" ref="J2147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SUMPRODUCT(("var_ncap"=[1]OUT_TransportEnergyCons!$B$4:$B$10000)*1,("-"=[1]OUT_TransportEnergyCons!$C$4:$C$10000)*1,ISNUMBER(SEARCH("T_C*ICE*dsl*s1",[1]OUT_TransportEnergyCons!$A$4:$A$10000))*1,[1]OUT_TransportEnergyCons!I$4:I$10000)</f>
        <v>0</v>
      </c>
    </row>
    <row r="2148" spans="2:11" x14ac:dyDescent="0.35">
      <c r="B2148" s="5" t="str">
        <f t="shared" si="1308"/>
        <v>SPS2</v>
      </c>
      <c r="C2148" s="5" t="str">
        <f t="shared" si="1309"/>
        <v>CH</v>
      </c>
      <c r="D2148" t="s">
        <v>2299</v>
      </c>
      <c r="E2148" t="str">
        <f t="shared" si="1310"/>
        <v>Million</v>
      </c>
      <c r="F2148" s="1" cm="1">
        <f t="array" ref="F2148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SUMPRODUCT(("var_ncap"=[1]OUT_TransportEnergyCons!$B$4:$B$10000)*1,("-"=[1]OUT_TransportEnergyCons!$C$4:$C$10000)*1,ISNUMBER(SEARCH("T_C*ICE*dsl*s2",[1]OUT_TransportEnergyCons!$A$4:$A$10000))*1,[1]OUT_TransportEnergyCons!E$4:E$10000)</f>
        <v>6.6840970015105895E-5</v>
      </c>
      <c r="H2148" s="1" cm="1">
        <f t="array" ref="H2148">SUMPRODUCT(("var_ncap"=[1]OUT_TransportEnergyCons!$B$4:$B$10000)*1,("-"=[1]OUT_TransportEnergyCons!$C$4:$C$10000)*1,ISNUMBER(SEARCH("T_C*ICE*dsl*s2",[1]OUT_TransportEnergyCons!$A$4:$A$10000))*1,[1]OUT_TransportEnergyCons!F$4:F$10000)</f>
        <v>1.0000936719754099E-4</v>
      </c>
      <c r="I2148" s="1" cm="1">
        <f t="array" ref="I2148">SUMPRODUCT(("var_ncap"=[1]OUT_TransportEnergyCons!$B$4:$B$10000)*1,("-"=[1]OUT_TransportEnergyCons!$C$4:$C$10000)*1,ISNUMBER(SEARCH("T_C*ICE*dsl*s2",[1]OUT_TransportEnergyCons!$A$4:$A$10000))*1,[1]OUT_TransportEnergyCons!G$4:G$10000)</f>
        <v>2.38373057418664E-5</v>
      </c>
      <c r="J2148" s="1" cm="1">
        <f t="array" ref="J2148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SUMPRODUCT(("var_ncap"=[1]OUT_TransportEnergyCons!$B$4:$B$10000)*1,("-"=[1]OUT_TransportEnergyCons!$C$4:$C$10000)*1,ISNUMBER(SEARCH("T_C*ICE*dsl*s2",[1]OUT_TransportEnergyCons!$A$4:$A$10000))*1,[1]OUT_TransportEnergyCons!I$4:I$10000)</f>
        <v>0</v>
      </c>
    </row>
    <row r="2149" spans="2:11" x14ac:dyDescent="0.35">
      <c r="B2149" s="5" t="str">
        <f t="shared" si="1308"/>
        <v>SPS2</v>
      </c>
      <c r="C2149" s="5" t="str">
        <f t="shared" si="1309"/>
        <v>CH</v>
      </c>
      <c r="D2149" t="s">
        <v>2300</v>
      </c>
      <c r="E2149" t="str">
        <f t="shared" si="1310"/>
        <v>Million</v>
      </c>
      <c r="F2149" s="1" cm="1">
        <f t="array" ref="F2149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SUMPRODUCT(("var_ncap"=[1]OUT_TransportEnergyCons!$B$4:$B$10000)*1,("-"=[1]OUT_TransportEnergyCons!$C$4:$C$10000)*1,ISNUMBER(SEARCH("T_C*ICE*dsl*s3",[1]OUT_TransportEnergyCons!$A$4:$A$10000))*1,[1]OUT_TransportEnergyCons!E$4:E$10000)</f>
        <v>5.8490294020337202E-5</v>
      </c>
      <c r="H2149" s="1" cm="1">
        <f t="array" ref="H2149">SUMPRODUCT(("var_ncap"=[1]OUT_TransportEnergyCons!$B$4:$B$10000)*1,("-"=[1]OUT_TransportEnergyCons!$C$4:$C$10000)*1,ISNUMBER(SEARCH("T_C*ICE*dsl*s3",[1]OUT_TransportEnergyCons!$A$4:$A$10000))*1,[1]OUT_TransportEnergyCons!F$4:F$10000)</f>
        <v>6.3598720184528099E-5</v>
      </c>
      <c r="I2149" s="1" cm="1">
        <f t="array" ref="I2149">SUMPRODUCT(("var_ncap"=[1]OUT_TransportEnergyCons!$B$4:$B$10000)*1,("-"=[1]OUT_TransportEnergyCons!$C$4:$C$10000)*1,ISNUMBER(SEARCH("T_C*ICE*dsl*s3",[1]OUT_TransportEnergyCons!$A$4:$A$10000))*1,[1]OUT_TransportEnergyCons!G$4:G$10000)</f>
        <v>1.8843523314257599E-5</v>
      </c>
      <c r="J2149" s="1" cm="1">
        <f t="array" ref="J2149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SUMPRODUCT(("var_ncap"=[1]OUT_TransportEnergyCons!$B$4:$B$10000)*1,("-"=[1]OUT_TransportEnergyCons!$C$4:$C$10000)*1,ISNUMBER(SEARCH("T_C*ICE*dsl*s3",[1]OUT_TransportEnergyCons!$A$4:$A$10000))*1,[1]OUT_TransportEnergyCons!I$4:I$10000)</f>
        <v>0</v>
      </c>
    </row>
    <row r="2150" spans="2:11" x14ac:dyDescent="0.35">
      <c r="B2150" s="5" t="str">
        <f t="shared" si="1308"/>
        <v>SPS2</v>
      </c>
      <c r="C2150" s="5" t="str">
        <f t="shared" si="1309"/>
        <v>CH</v>
      </c>
      <c r="D2150" t="s">
        <v>2301</v>
      </c>
      <c r="E2150" t="str">
        <f t="shared" si="1310"/>
        <v>Million</v>
      </c>
      <c r="F2150" s="1" cm="1">
        <f t="array" ref="F2150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SUMPRODUCT(("var_ncap"=[1]OUT_TransportEnergyCons!$B$4:$B$10000)*1,("-"=[1]OUT_TransportEnergyCons!$C$4:$C$10000)*1,ISNUMBER(SEARCH("T_C*ICE*dsl*s4",[1]OUT_TransportEnergyCons!$A$4:$A$10000))*1,[1]OUT_TransportEnergyCons!E$4:E$10000)</f>
        <v>2.47879402571751E-5</v>
      </c>
      <c r="H2150" s="1" cm="1">
        <f t="array" ref="H2150">SUMPRODUCT(("var_ncap"=[1]OUT_TransportEnergyCons!$B$4:$B$10000)*1,("-"=[1]OUT_TransportEnergyCons!$C$4:$C$10000)*1,ISNUMBER(SEARCH("T_C*ICE*dsl*s4",[1]OUT_TransportEnergyCons!$A$4:$A$10000))*1,[1]OUT_TransportEnergyCons!F$4:F$10000)</f>
        <v>3.6152890639294E-5</v>
      </c>
      <c r="I2150" s="1" cm="1">
        <f t="array" ref="I2150">SUMPRODUCT(("var_ncap"=[1]OUT_TransportEnergyCons!$B$4:$B$10000)*1,("-"=[1]OUT_TransportEnergyCons!$C$4:$C$10000)*1,ISNUMBER(SEARCH("T_C*ICE*dsl*s4",[1]OUT_TransportEnergyCons!$A$4:$A$10000))*1,[1]OUT_TransportEnergyCons!G$4:G$10000)</f>
        <v>1.7083422779588399E-5</v>
      </c>
      <c r="J2150" s="1" cm="1">
        <f t="array" ref="J2150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SUMPRODUCT(("var_ncap"=[1]OUT_TransportEnergyCons!$B$4:$B$10000)*1,("-"=[1]OUT_TransportEnergyCons!$C$4:$C$10000)*1,ISNUMBER(SEARCH("T_C*ICE*dsl*s4",[1]OUT_TransportEnergyCons!$A$4:$A$10000))*1,[1]OUT_TransportEnergyCons!I$4:I$10000)</f>
        <v>0</v>
      </c>
    </row>
    <row r="2151" spans="2:11" x14ac:dyDescent="0.35">
      <c r="B2151" s="5" t="str">
        <f t="shared" si="1308"/>
        <v>SPS2</v>
      </c>
      <c r="C2151" s="5" t="str">
        <f t="shared" si="1309"/>
        <v>CH</v>
      </c>
      <c r="D2151" t="s">
        <v>2302</v>
      </c>
      <c r="E2151" t="str">
        <f t="shared" si="1310"/>
        <v>Million</v>
      </c>
      <c r="F2151" s="1" cm="1">
        <f t="array" ref="F2151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SUMPRODUCT(("var_ncap"=[1]OUT_TransportEnergyCons!$B$4:$B$10000)*1,("-"=[1]OUT_TransportEnergyCons!$C$4:$C$10000)*1,ISNUMBER(SEARCH("T_C*mhy*dsl*s1",[1]OUT_TransportEnergyCons!$A$4:$A$10000))*1,[1]OUT_TransportEnergyCons!E$4:E$10000)</f>
        <v>5.6568860879625701E-5</v>
      </c>
      <c r="H2151" s="1" cm="1">
        <f t="array" ref="H2151">SUMPRODUCT(("var_ncap"=[1]OUT_TransportEnergyCons!$B$4:$B$10000)*1,("-"=[1]OUT_TransportEnergyCons!$C$4:$C$10000)*1,ISNUMBER(SEARCH("T_C*mhy*dsl*s1",[1]OUT_TransportEnergyCons!$A$4:$A$10000))*1,[1]OUT_TransportEnergyCons!F$4:F$10000)</f>
        <v>7.6422481318436097E-5</v>
      </c>
      <c r="I2151" s="1" cm="1">
        <f t="array" ref="I2151">SUMPRODUCT(("var_ncap"=[1]OUT_TransportEnergyCons!$B$4:$B$10000)*1,("-"=[1]OUT_TransportEnergyCons!$C$4:$C$10000)*1,ISNUMBER(SEARCH("T_C*mhy*dsl*s1",[1]OUT_TransportEnergyCons!$A$4:$A$10000))*1,[1]OUT_TransportEnergyCons!G$4:G$10000)</f>
        <v>5.9881020036987103E-5</v>
      </c>
      <c r="J2151" s="1" cm="1">
        <f t="array" ref="J2151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SUMPRODUCT(("var_ncap"=[1]OUT_TransportEnergyCons!$B$4:$B$10000)*1,("-"=[1]OUT_TransportEnergyCons!$C$4:$C$10000)*1,ISNUMBER(SEARCH("T_C*mhy*dsl*s1",[1]OUT_TransportEnergyCons!$A$4:$A$10000))*1,[1]OUT_TransportEnergyCons!I$4:I$10000)</f>
        <v>0</v>
      </c>
    </row>
    <row r="2152" spans="2:11" x14ac:dyDescent="0.35">
      <c r="B2152" s="5" t="str">
        <f t="shared" si="1308"/>
        <v>SPS2</v>
      </c>
      <c r="C2152" s="5" t="str">
        <f t="shared" si="1309"/>
        <v>CH</v>
      </c>
      <c r="D2152" t="s">
        <v>2303</v>
      </c>
      <c r="E2152" t="str">
        <f t="shared" si="1310"/>
        <v>Million</v>
      </c>
      <c r="F2152" s="1" cm="1">
        <f t="array" ref="F2152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SUMPRODUCT(("var_ncap"=[1]OUT_TransportEnergyCons!$B$4:$B$10000)*1,("-"=[1]OUT_TransportEnergyCons!$C$4:$C$10000)*1,ISNUMBER(SEARCH("T_C*mhy*dsl*s2",[1]OUT_TransportEnergyCons!$A$4:$A$10000))*1,[1]OUT_TransportEnergyCons!E$4:E$10000)</f>
        <v>2.6358675137073601E-5</v>
      </c>
      <c r="H2152" s="1" cm="1">
        <f t="array" ref="H2152">SUMPRODUCT(("var_ncap"=[1]OUT_TransportEnergyCons!$B$4:$B$10000)*1,("-"=[1]OUT_TransportEnergyCons!$C$4:$C$10000)*1,ISNUMBER(SEARCH("T_C*mhy*dsl*s2",[1]OUT_TransportEnergyCons!$A$4:$A$10000))*1,[1]OUT_TransportEnergyCons!F$4:F$10000)</f>
        <v>4.9953836161458E-5</v>
      </c>
      <c r="I2152" s="1" cm="1">
        <f t="array" ref="I2152">SUMPRODUCT(("var_ncap"=[1]OUT_TransportEnergyCons!$B$4:$B$10000)*1,("-"=[1]OUT_TransportEnergyCons!$C$4:$C$10000)*1,ISNUMBER(SEARCH("T_C*mhy*dsl*s2",[1]OUT_TransportEnergyCons!$A$4:$A$10000))*1,[1]OUT_TransportEnergyCons!G$4:G$10000)</f>
        <v>2.73257653892917E-5</v>
      </c>
      <c r="J2152" s="1" cm="1">
        <f t="array" ref="J2152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SUMPRODUCT(("var_ncap"=[1]OUT_TransportEnergyCons!$B$4:$B$10000)*1,("-"=[1]OUT_TransportEnergyCons!$C$4:$C$10000)*1,ISNUMBER(SEARCH("T_C*mhy*dsl*s2",[1]OUT_TransportEnergyCons!$A$4:$A$10000))*1,[1]OUT_TransportEnergyCons!I$4:I$10000)</f>
        <v>0</v>
      </c>
    </row>
    <row r="2153" spans="2:11" x14ac:dyDescent="0.35">
      <c r="B2153" s="5" t="str">
        <f t="shared" si="1308"/>
        <v>SPS2</v>
      </c>
      <c r="C2153" s="5" t="str">
        <f t="shared" si="1309"/>
        <v>CH</v>
      </c>
      <c r="D2153" t="s">
        <v>2304</v>
      </c>
      <c r="E2153" t="str">
        <f t="shared" si="1310"/>
        <v>Million</v>
      </c>
      <c r="F2153" s="1" cm="1">
        <f t="array" ref="F2153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SUMPRODUCT(("var_ncap"=[1]OUT_TransportEnergyCons!$B$4:$B$10000)*1,("-"=[1]OUT_TransportEnergyCons!$C$4:$C$10000)*1,ISNUMBER(SEARCH("T_C*mhy*dsl*s3",[1]OUT_TransportEnergyCons!$A$4:$A$10000))*1,[1]OUT_TransportEnergyCons!E$4:E$10000)</f>
        <v>2.7309278674822299E-5</v>
      </c>
      <c r="H2153" s="1" cm="1">
        <f t="array" ref="H2153">SUMPRODUCT(("var_ncap"=[1]OUT_TransportEnergyCons!$B$4:$B$10000)*1,("-"=[1]OUT_TransportEnergyCons!$C$4:$C$10000)*1,ISNUMBER(SEARCH("T_C*mhy*dsl*s3",[1]OUT_TransportEnergyCons!$A$4:$A$10000))*1,[1]OUT_TransportEnergyCons!F$4:F$10000)</f>
        <v>4.18713200375944E-5</v>
      </c>
      <c r="I2153" s="1" cm="1">
        <f t="array" ref="I2153">SUMPRODUCT(("var_ncap"=[1]OUT_TransportEnergyCons!$B$4:$B$10000)*1,("-"=[1]OUT_TransportEnergyCons!$C$4:$C$10000)*1,ISNUMBER(SEARCH("T_C*mhy*dsl*s3",[1]OUT_TransportEnergyCons!$A$4:$A$10000))*1,[1]OUT_TransportEnergyCons!G$4:G$10000)</f>
        <v>2.17423628015099E-5</v>
      </c>
      <c r="J2153" s="1" cm="1">
        <f t="array" ref="J2153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SUMPRODUCT(("var_ncap"=[1]OUT_TransportEnergyCons!$B$4:$B$10000)*1,("-"=[1]OUT_TransportEnergyCons!$C$4:$C$10000)*1,ISNUMBER(SEARCH("T_C*mhy*dsl*s3",[1]OUT_TransportEnergyCons!$A$4:$A$10000))*1,[1]OUT_TransportEnergyCons!I$4:I$10000)</f>
        <v>0</v>
      </c>
    </row>
    <row r="2154" spans="2:11" x14ac:dyDescent="0.35">
      <c r="B2154" s="5" t="str">
        <f t="shared" si="1308"/>
        <v>SPS2</v>
      </c>
      <c r="C2154" s="5" t="str">
        <f t="shared" si="1309"/>
        <v>CH</v>
      </c>
      <c r="D2154" t="s">
        <v>2305</v>
      </c>
      <c r="E2154" t="str">
        <f t="shared" si="1310"/>
        <v>Million</v>
      </c>
      <c r="F2154" s="1" cm="1">
        <f t="array" ref="F2154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SUMPRODUCT(("var_ncap"=[1]OUT_TransportEnergyCons!$B$4:$B$10000)*1,("-"=[1]OUT_TransportEnergyCons!$C$4:$C$10000)*1,ISNUMBER(SEARCH("T_C*mhy*dsl*s4",[1]OUT_TransportEnergyCons!$A$4:$A$10000))*1,[1]OUT_TransportEnergyCons!E$4:E$10000)</f>
        <v>2.3447879140436601E-5</v>
      </c>
      <c r="H2154" s="1" cm="1">
        <f t="array" ref="H2154">SUMPRODUCT(("var_ncap"=[1]OUT_TransportEnergyCons!$B$4:$B$10000)*1,("-"=[1]OUT_TransportEnergyCons!$C$4:$C$10000)*1,ISNUMBER(SEARCH("T_C*mhy*dsl*s4",[1]OUT_TransportEnergyCons!$A$4:$A$10000))*1,[1]OUT_TransportEnergyCons!F$4:F$10000)</f>
        <v>3.3614590747648302E-5</v>
      </c>
      <c r="I2154" s="1" cm="1">
        <f t="array" ref="I2154">SUMPRODUCT(("var_ncap"=[1]OUT_TransportEnergyCons!$B$4:$B$10000)*1,("-"=[1]OUT_TransportEnergyCons!$C$4:$C$10000)*1,ISNUMBER(SEARCH("T_C*mhy*dsl*s4",[1]OUT_TransportEnergyCons!$A$4:$A$10000))*1,[1]OUT_TransportEnergyCons!G$4:G$10000)</f>
        <v>1.9040185629487399E-5</v>
      </c>
      <c r="J2154" s="1" cm="1">
        <f t="array" ref="J2154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SUMPRODUCT(("var_ncap"=[1]OUT_TransportEnergyCons!$B$4:$B$10000)*1,("-"=[1]OUT_TransportEnergyCons!$C$4:$C$10000)*1,ISNUMBER(SEARCH("T_C*mhy*dsl*s4",[1]OUT_TransportEnergyCons!$A$4:$A$10000))*1,[1]OUT_TransportEnergyCons!I$4:I$10000)</f>
        <v>0</v>
      </c>
    </row>
    <row r="2155" spans="2:11" x14ac:dyDescent="0.35">
      <c r="B2155" s="5" t="str">
        <f t="shared" si="1308"/>
        <v>SPS2</v>
      </c>
      <c r="C2155" s="5" t="str">
        <f t="shared" si="1309"/>
        <v>CH</v>
      </c>
      <c r="D2155" t="s">
        <v>2306</v>
      </c>
      <c r="E2155" t="str">
        <f t="shared" si="1310"/>
        <v>Million</v>
      </c>
      <c r="F2155" s="1" cm="1">
        <f t="array" ref="F2155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55" s="1" cm="1">
        <f t="array" ref="H2155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55" s="1" cm="1">
        <f t="array" ref="I2155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55" s="1" cm="1">
        <f t="array" ref="J2155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SUMPRODUCT(("var_ncap"=[1]OUT_TransportEnergyCons!$B$4:$B$10000)*1,("-"=[1]OUT_TransportEnergyCons!$C$4:$C$10000)*1,ISNUMBER(SEARCH("T_C*ICE*nga*ext",[1]OUT_TransportEnergyCons!$A$4:$A$10000))*1,[1]OUT_TransportEnergyCons!I$4:I$10000)</f>
        <v>0</v>
      </c>
    </row>
    <row r="2156" spans="2:11" x14ac:dyDescent="0.35">
      <c r="B2156" s="5" t="str">
        <f t="shared" si="1308"/>
        <v>SPS2</v>
      </c>
      <c r="C2156" s="5" t="str">
        <f t="shared" si="1309"/>
        <v>CH</v>
      </c>
      <c r="D2156" t="s">
        <v>2307</v>
      </c>
      <c r="E2156" t="str">
        <f t="shared" si="1310"/>
        <v>Million</v>
      </c>
      <c r="F2156" s="1" cm="1">
        <f t="array" ref="F2156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SUMPRODUCT(("var_ncap"=[1]OUT_TransportEnergyCons!$B$4:$B$10000)*1,("-"=[1]OUT_TransportEnergyCons!$C$4:$C$10000)*1,ISNUMBER(SEARCH("T_C*ICE*nga*s1",[1]OUT_TransportEnergyCons!$A$4:$A$10000))*1,[1]OUT_TransportEnergyCons!E$4:E$10000)</f>
        <v>8.8208986756566098E-6</v>
      </c>
      <c r="H2156" s="1" cm="1">
        <f t="array" ref="H2156">SUMPRODUCT(("var_ncap"=[1]OUT_TransportEnergyCons!$B$4:$B$10000)*1,("-"=[1]OUT_TransportEnergyCons!$C$4:$C$10000)*1,ISNUMBER(SEARCH("T_C*ICE*nga*s1",[1]OUT_TransportEnergyCons!$A$4:$A$10000))*1,[1]OUT_TransportEnergyCons!F$4:F$10000)</f>
        <v>1.1498464791379899E-5</v>
      </c>
      <c r="I2156" s="1" cm="1">
        <f t="array" ref="I2156">SUMPRODUCT(("var_ncap"=[1]OUT_TransportEnergyCons!$B$4:$B$10000)*1,("-"=[1]OUT_TransportEnergyCons!$C$4:$C$10000)*1,ISNUMBER(SEARCH("T_C*ICE*nga*s1",[1]OUT_TransportEnergyCons!$A$4:$A$10000))*1,[1]OUT_TransportEnergyCons!G$4:G$10000)</f>
        <v>7.23381238408068E-6</v>
      </c>
      <c r="J2156" s="1" cm="1">
        <f t="array" ref="J2156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SUMPRODUCT(("var_ncap"=[1]OUT_TransportEnergyCons!$B$4:$B$10000)*1,("-"=[1]OUT_TransportEnergyCons!$C$4:$C$10000)*1,ISNUMBER(SEARCH("T_C*ICE*nga*s1",[1]OUT_TransportEnergyCons!$A$4:$A$10000))*1,[1]OUT_TransportEnergyCons!I$4:I$10000)</f>
        <v>0</v>
      </c>
    </row>
    <row r="2157" spans="2:11" x14ac:dyDescent="0.35">
      <c r="B2157" s="5" t="str">
        <f t="shared" si="1308"/>
        <v>SPS2</v>
      </c>
      <c r="C2157" s="5" t="str">
        <f t="shared" si="1309"/>
        <v>CH</v>
      </c>
      <c r="D2157" t="s">
        <v>2308</v>
      </c>
      <c r="E2157" t="str">
        <f t="shared" si="1310"/>
        <v>Million</v>
      </c>
      <c r="F2157" s="1" cm="1">
        <f t="array" ref="F2157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SUMPRODUCT(("var_ncap"=[1]OUT_TransportEnergyCons!$B$4:$B$10000)*1,("-"=[1]OUT_TransportEnergyCons!$C$4:$C$10000)*1,ISNUMBER(SEARCH("T_C*ICE*nga*s2",[1]OUT_TransportEnergyCons!$A$4:$A$10000))*1,[1]OUT_TransportEnergyCons!E$4:E$10000)</f>
        <v>6.8419435515528404E-6</v>
      </c>
      <c r="H2157" s="1" cm="1">
        <f t="array" ref="H2157">SUMPRODUCT(("var_ncap"=[1]OUT_TransportEnergyCons!$B$4:$B$10000)*1,("-"=[1]OUT_TransportEnergyCons!$C$4:$C$10000)*1,ISNUMBER(SEARCH("T_C*ICE*nga*s2",[1]OUT_TransportEnergyCons!$A$4:$A$10000))*1,[1]OUT_TransportEnergyCons!F$4:F$10000)</f>
        <v>1.0855809243282099E-5</v>
      </c>
      <c r="I2157" s="1" cm="1">
        <f t="array" ref="I2157">SUMPRODUCT(("var_ncap"=[1]OUT_TransportEnergyCons!$B$4:$B$10000)*1,("-"=[1]OUT_TransportEnergyCons!$C$4:$C$10000)*1,ISNUMBER(SEARCH("T_C*ICE*nga*s2",[1]OUT_TransportEnergyCons!$A$4:$A$10000))*1,[1]OUT_TransportEnergyCons!G$4:G$10000)</f>
        <v>5.8505371477551598E-6</v>
      </c>
      <c r="J2157" s="1" cm="1">
        <f t="array" ref="J2157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SUMPRODUCT(("var_ncap"=[1]OUT_TransportEnergyCons!$B$4:$B$10000)*1,("-"=[1]OUT_TransportEnergyCons!$C$4:$C$10000)*1,ISNUMBER(SEARCH("T_C*ICE*nga*s2",[1]OUT_TransportEnergyCons!$A$4:$A$10000))*1,[1]OUT_TransportEnergyCons!I$4:I$10000)</f>
        <v>0</v>
      </c>
    </row>
    <row r="2158" spans="2:11" x14ac:dyDescent="0.35">
      <c r="B2158" s="5" t="str">
        <f t="shared" si="1308"/>
        <v>SPS2</v>
      </c>
      <c r="C2158" s="5" t="str">
        <f t="shared" si="1309"/>
        <v>CH</v>
      </c>
      <c r="D2158" t="s">
        <v>2309</v>
      </c>
      <c r="E2158" t="str">
        <f t="shared" si="1310"/>
        <v>Million</v>
      </c>
      <c r="F2158" s="1" cm="1">
        <f t="array" ref="F2158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SUMPRODUCT(("var_ncap"=[1]OUT_TransportEnergyCons!$B$4:$B$10000)*1,("-"=[1]OUT_TransportEnergyCons!$C$4:$C$10000)*1,ISNUMBER(SEARCH("T_C*ICE*nga*s3",[1]OUT_TransportEnergyCons!$A$4:$A$10000))*1,[1]OUT_TransportEnergyCons!E$4:E$10000)</f>
        <v>8.3267299665851192E-6</v>
      </c>
      <c r="H2158" s="1" cm="1">
        <f t="array" ref="H2158">SUMPRODUCT(("var_ncap"=[1]OUT_TransportEnergyCons!$B$4:$B$10000)*1,("-"=[1]OUT_TransportEnergyCons!$C$4:$C$10000)*1,ISNUMBER(SEARCH("T_C*ICE*nga*s3",[1]OUT_TransportEnergyCons!$A$4:$A$10000))*1,[1]OUT_TransportEnergyCons!F$4:F$10000)</f>
        <v>1.2506179179328499E-5</v>
      </c>
      <c r="I2158" s="1" cm="1">
        <f t="array" ref="I2158">SUMPRODUCT(("var_ncap"=[1]OUT_TransportEnergyCons!$B$4:$B$10000)*1,("-"=[1]OUT_TransportEnergyCons!$C$4:$C$10000)*1,ISNUMBER(SEARCH("T_C*ICE*nga*s3",[1]OUT_TransportEnergyCons!$A$4:$A$10000))*1,[1]OUT_TransportEnergyCons!G$4:G$10000)</f>
        <v>5.7047301856917196E-6</v>
      </c>
      <c r="J2158" s="1" cm="1">
        <f t="array" ref="J2158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SUMPRODUCT(("var_ncap"=[1]OUT_TransportEnergyCons!$B$4:$B$10000)*1,("-"=[1]OUT_TransportEnergyCons!$C$4:$C$10000)*1,ISNUMBER(SEARCH("T_C*ICE*nga*s3",[1]OUT_TransportEnergyCons!$A$4:$A$10000))*1,[1]OUT_TransportEnergyCons!I$4:I$10000)</f>
        <v>0</v>
      </c>
    </row>
    <row r="2159" spans="2:11" x14ac:dyDescent="0.35">
      <c r="B2159" s="5" t="str">
        <f t="shared" si="1308"/>
        <v>SPS2</v>
      </c>
      <c r="C2159" s="5" t="str">
        <f t="shared" si="1309"/>
        <v>CH</v>
      </c>
      <c r="D2159" t="s">
        <v>2310</v>
      </c>
      <c r="E2159" t="str">
        <f t="shared" si="1310"/>
        <v>Million</v>
      </c>
      <c r="F2159" s="1" cm="1">
        <f t="array" ref="F2159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SUMPRODUCT(("var_ncap"=[1]OUT_TransportEnergyCons!$B$4:$B$10000)*1,("-"=[1]OUT_TransportEnergyCons!$C$4:$C$10000)*1,ISNUMBER(SEARCH("T_C*ICE*nga*s4",[1]OUT_TransportEnergyCons!$A$4:$A$10000))*1,[1]OUT_TransportEnergyCons!E$4:E$10000)</f>
        <v>8.5483624542595298E-6</v>
      </c>
      <c r="H2159" s="1" cm="1">
        <f t="array" ref="H2159">SUMPRODUCT(("var_ncap"=[1]OUT_TransportEnergyCons!$B$4:$B$10000)*1,("-"=[1]OUT_TransportEnergyCons!$C$4:$C$10000)*1,ISNUMBER(SEARCH("T_C*ICE*nga*s4",[1]OUT_TransportEnergyCons!$A$4:$A$10000))*1,[1]OUT_TransportEnergyCons!F$4:F$10000)</f>
        <v>1.3137523970796799E-5</v>
      </c>
      <c r="I2159" s="1" cm="1">
        <f t="array" ref="I2159">SUMPRODUCT(("var_ncap"=[1]OUT_TransportEnergyCons!$B$4:$B$10000)*1,("-"=[1]OUT_TransportEnergyCons!$C$4:$C$10000)*1,ISNUMBER(SEARCH("T_C*ICE*nga*s4",[1]OUT_TransportEnergyCons!$A$4:$A$10000))*1,[1]OUT_TransportEnergyCons!G$4:G$10000)</f>
        <v>6.3438073435387403E-6</v>
      </c>
      <c r="J2159" s="1" cm="1">
        <f t="array" ref="J2159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SUMPRODUCT(("var_ncap"=[1]OUT_TransportEnergyCons!$B$4:$B$10000)*1,("-"=[1]OUT_TransportEnergyCons!$C$4:$C$10000)*1,ISNUMBER(SEARCH("T_C*ICE*nga*s4",[1]OUT_TransportEnergyCons!$A$4:$A$10000))*1,[1]OUT_TransportEnergyCons!I$4:I$10000)</f>
        <v>0</v>
      </c>
    </row>
    <row r="2160" spans="2:11" x14ac:dyDescent="0.35">
      <c r="B2160" s="5" t="str">
        <f t="shared" si="1308"/>
        <v>SPS2</v>
      </c>
      <c r="C2160" s="5" t="str">
        <f t="shared" si="1309"/>
        <v>CH</v>
      </c>
      <c r="D2160" s="2" t="s">
        <v>2184</v>
      </c>
      <c r="E2160" s="2" t="s">
        <v>2000</v>
      </c>
      <c r="F2160" s="3">
        <f t="shared" ref="F2160:K2160" si="1311">SUM(F2161:F2183)</f>
        <v>0</v>
      </c>
      <c r="G2160" s="3">
        <f t="shared" si="1311"/>
        <v>0.71062822191913599</v>
      </c>
      <c r="H2160" s="3">
        <f t="shared" si="1311"/>
        <v>1.5494189335535649</v>
      </c>
      <c r="I2160" s="3">
        <f t="shared" si="1311"/>
        <v>6.6057187674021423</v>
      </c>
      <c r="J2160" s="3">
        <f t="shared" si="1311"/>
        <v>3.1014024943433158</v>
      </c>
      <c r="K2160" s="3">
        <f t="shared" si="1311"/>
        <v>6.0134863606869615</v>
      </c>
    </row>
    <row r="2161" spans="2:11" x14ac:dyDescent="0.35">
      <c r="B2161" s="5" t="str">
        <f t="shared" si="1308"/>
        <v>SPS2</v>
      </c>
      <c r="C2161" s="5" t="str">
        <f t="shared" si="1309"/>
        <v>CH</v>
      </c>
      <c r="D2161" t="s">
        <v>2311</v>
      </c>
      <c r="E2161" t="s">
        <v>2000</v>
      </c>
      <c r="F2161" s="1" cm="1">
        <f t="array" ref="F2161">(SUMPRODUCT(("var_ncap"=[1]OUT_TransportEnergyCons!$B$4:$B$10000)*1,ISNUMBER(SEARCH("T_B_u*bev*ext",[1]OUT_TransportEnergyCons!$A$4:$A$10000))*1,[1]OUT_TransportEnergyCons!D$4:D$10000))*1000</f>
        <v>0</v>
      </c>
      <c r="G2161" s="1" cm="1">
        <f t="array" ref="G2161">(SUMPRODUCT(("var_ncap"=[1]OUT_TransportEnergyCons!$B$4:$B$10000)*1,ISNUMBER(SEARCH("T_B_u*bev*ext",[1]OUT_TransportEnergyCons!$A$4:$A$10000))*1,[1]OUT_TransportEnergyCons!E$4:E$10000))*1000</f>
        <v>0</v>
      </c>
      <c r="H2161" s="1" cm="1">
        <f t="array" ref="H2161">(SUMPRODUCT(("var_ncap"=[1]OUT_TransportEnergyCons!$B$4:$B$10000)*1,ISNUMBER(SEARCH("T_B_u*bev*ext",[1]OUT_TransportEnergyCons!$A$4:$A$10000))*1,[1]OUT_TransportEnergyCons!F$4:F$10000))*1000</f>
        <v>0</v>
      </c>
      <c r="I2161" s="1" cm="1">
        <f t="array" ref="I2161">(SUMPRODUCT(("var_ncap"=[1]OUT_TransportEnergyCons!$B$4:$B$10000)*1,ISNUMBER(SEARCH("T_B_u*bev*ext",[1]OUT_TransportEnergyCons!$A$4:$A$10000))*1,[1]OUT_TransportEnergyCons!G$4:G$10000))*1000</f>
        <v>0</v>
      </c>
      <c r="J2161" s="1" cm="1">
        <f t="array" ref="J2161">(SUMPRODUCT(("var_ncap"=[1]OUT_TransportEnergyCons!$B$4:$B$10000)*1,ISNUMBER(SEARCH("T_B_u*bev*ext",[1]OUT_TransportEnergyCons!$A$4:$A$10000))*1,[1]OUT_TransportEnergyCons!H$4:H$10000))*1000</f>
        <v>0</v>
      </c>
      <c r="K2161" s="1" cm="1">
        <f t="array" ref="K2161">(SUMPRODUCT(("var_ncap"=[1]OUT_TransportEnergyCons!$B$4:$B$10000)*1,ISNUMBER(SEARCH("T_B_u*bev*ext",[1]OUT_TransportEnergyCons!$A$4:$A$10000))*1,[1]OUT_TransportEnergyCons!I$4:I$10000))*1000</f>
        <v>0</v>
      </c>
    </row>
    <row r="2162" spans="2:11" x14ac:dyDescent="0.35">
      <c r="B2162" s="5" t="str">
        <f t="shared" si="1308"/>
        <v>SPS2</v>
      </c>
      <c r="C2162" s="5" t="str">
        <f t="shared" si="1309"/>
        <v>CH</v>
      </c>
      <c r="D2162" t="s">
        <v>2312</v>
      </c>
      <c r="E2162" t="s">
        <v>2000</v>
      </c>
      <c r="F2162" s="1" cm="1">
        <f t="array" ref="F2162">(SUMPRODUCT(("var_ncap"=[1]OUT_TransportEnergyCons!$B$4:$B$10000)*1,ISNUMBER(SEARCH("T_B_u*bev*s1",[1]OUT_TransportEnergyCons!$A$4:$A$10000))*1,[1]OUT_TransportEnergyCons!D$4:D$10000))*1000</f>
        <v>0</v>
      </c>
      <c r="G2162" s="1" cm="1">
        <f t="array" ref="G2162">(SUMPRODUCT(("var_ncap"=[1]OUT_TransportEnergyCons!$B$4:$B$10000)*1,ISNUMBER(SEARCH("T_B_u*bev*s1",[1]OUT_TransportEnergyCons!$A$4:$A$10000))*1,[1]OUT_TransportEnergyCons!E$4:E$10000))*1000</f>
        <v>6.1325896211504805E-2</v>
      </c>
      <c r="H2162" s="1" cm="1">
        <f t="array" ref="H2162">(SUMPRODUCT(("var_ncap"=[1]OUT_TransportEnergyCons!$B$4:$B$10000)*1,ISNUMBER(SEARCH("T_B_u*bev*s1",[1]OUT_TransportEnergyCons!$A$4:$A$10000))*1,[1]OUT_TransportEnergyCons!F$4:F$10000))*1000</f>
        <v>2.9206809723634902E-2</v>
      </c>
      <c r="I2162" s="1" cm="1">
        <f t="array" ref="I2162">(SUMPRODUCT(("var_ncap"=[1]OUT_TransportEnergyCons!$B$4:$B$10000)*1,ISNUMBER(SEARCH("T_B_u*bev*s1",[1]OUT_TransportEnergyCons!$A$4:$A$10000))*1,[1]OUT_TransportEnergyCons!G$4:G$10000))*1000</f>
        <v>1.9916157785321402</v>
      </c>
      <c r="J2162" s="1" cm="1">
        <f t="array" ref="J2162">(SUMPRODUCT(("var_ncap"=[1]OUT_TransportEnergyCons!$B$4:$B$10000)*1,ISNUMBER(SEARCH("T_B_u*bev*s1",[1]OUT_TransportEnergyCons!$A$4:$A$10000))*1,[1]OUT_TransportEnergyCons!H$4:H$10000))*1000</f>
        <v>0.43931881741883499</v>
      </c>
      <c r="K2162" s="1" cm="1">
        <f t="array" ref="K2162">(SUMPRODUCT(("var_ncap"=[1]OUT_TransportEnergyCons!$B$4:$B$10000)*1,ISNUMBER(SEARCH("T_B_u*bev*s1",[1]OUT_TransportEnergyCons!$A$4:$A$10000))*1,[1]OUT_TransportEnergyCons!I$4:I$10000))*1000</f>
        <v>2.39002675151632</v>
      </c>
    </row>
    <row r="2163" spans="2:11" x14ac:dyDescent="0.35">
      <c r="B2163" s="5" t="str">
        <f t="shared" si="1308"/>
        <v>SPS2</v>
      </c>
      <c r="C2163" s="5" t="str">
        <f t="shared" si="1309"/>
        <v>CH</v>
      </c>
      <c r="D2163" t="s">
        <v>2313</v>
      </c>
      <c r="E2163" t="s">
        <v>2000</v>
      </c>
      <c r="F2163" s="1" cm="1">
        <f t="array" ref="F2163">(SUMPRODUCT(("var_ncap"=[1]OUT_TransportEnergyCons!$B$4:$B$10000)*1,ISNUMBER(SEARCH("T_B_u*bev*s2",[1]OUT_TransportEnergyCons!$A$4:$A$10000))*1,[1]OUT_TransportEnergyCons!D$4:D$10000))*1000</f>
        <v>0</v>
      </c>
      <c r="G2163" s="1" cm="1">
        <f t="array" ref="G2163">(SUMPRODUCT(("var_ncap"=[1]OUT_TransportEnergyCons!$B$4:$B$10000)*1,ISNUMBER(SEARCH("T_B_u*bev*s2",[1]OUT_TransportEnergyCons!$A$4:$A$10000))*1,[1]OUT_TransportEnergyCons!E$4:E$10000))*1000</f>
        <v>6.5891165565182498E-3</v>
      </c>
      <c r="H2163" s="1" cm="1">
        <f t="array" ref="H2163">(SUMPRODUCT(("var_ncap"=[1]OUT_TransportEnergyCons!$B$4:$B$10000)*1,ISNUMBER(SEARCH("T_B_u*bev*s2",[1]OUT_TransportEnergyCons!$A$4:$A$10000))*1,[1]OUT_TransportEnergyCons!F$4:F$10000))*1000</f>
        <v>3.46742577825764E-2</v>
      </c>
      <c r="I2163" s="1" cm="1">
        <f t="array" ref="I2163">(SUMPRODUCT(("var_ncap"=[1]OUT_TransportEnergyCons!$B$4:$B$10000)*1,ISNUMBER(SEARCH("T_B_u*bev*s2",[1]OUT_TransportEnergyCons!$A$4:$A$10000))*1,[1]OUT_TransportEnergyCons!G$4:G$10000))*1000</f>
        <v>0.70628274998674401</v>
      </c>
      <c r="J2163" s="1" cm="1">
        <f t="array" ref="J2163">(SUMPRODUCT(("var_ncap"=[1]OUT_TransportEnergyCons!$B$4:$B$10000)*1,ISNUMBER(SEARCH("T_B_u*bev*s2",[1]OUT_TransportEnergyCons!$A$4:$A$10000))*1,[1]OUT_TransportEnergyCons!H$4:H$10000))*1000</f>
        <v>0.125694233269253</v>
      </c>
      <c r="K2163" s="1" cm="1">
        <f t="array" ref="K2163">(SUMPRODUCT(("var_ncap"=[1]OUT_TransportEnergyCons!$B$4:$B$10000)*1,ISNUMBER(SEARCH("T_B_u*bev*s2",[1]OUT_TransportEnergyCons!$A$4:$A$10000))*1,[1]OUT_TransportEnergyCons!I$4:I$10000))*1000</f>
        <v>0.68771874645806308</v>
      </c>
    </row>
    <row r="2164" spans="2:11" x14ac:dyDescent="0.35">
      <c r="B2164" s="5" t="str">
        <f t="shared" si="1308"/>
        <v>SPS2</v>
      </c>
      <c r="C2164" s="5" t="str">
        <f t="shared" si="1309"/>
        <v>CH</v>
      </c>
      <c r="D2164" t="s">
        <v>2314</v>
      </c>
      <c r="E2164" t="s">
        <v>2000</v>
      </c>
      <c r="F2164" s="1" cm="1">
        <f t="array" ref="F2164">(SUMPRODUCT(("var_ncap"=[1]OUT_TransportEnergyCons!$B$4:$B$10000)*1,ISNUMBER(SEARCH("T_B_u*bev*s3",[1]OUT_TransportEnergyCons!$A$4:$A$10000))*1,[1]OUT_TransportEnergyCons!D$4:D$10000))*1000</f>
        <v>0</v>
      </c>
      <c r="G2164" s="1" cm="1">
        <f t="array" ref="G2164">(SUMPRODUCT(("var_ncap"=[1]OUT_TransportEnergyCons!$B$4:$B$10000)*1,ISNUMBER(SEARCH("T_B_u*bev*s3",[1]OUT_TransportEnergyCons!$A$4:$A$10000))*1,[1]OUT_TransportEnergyCons!E$4:E$10000))*1000</f>
        <v>3.9506546440369996E-3</v>
      </c>
      <c r="H2164" s="1" cm="1">
        <f t="array" ref="H2164">(SUMPRODUCT(("var_ncap"=[1]OUT_TransportEnergyCons!$B$4:$B$10000)*1,ISNUMBER(SEARCH("T_B_u*bev*s3",[1]OUT_TransportEnergyCons!$A$4:$A$10000))*1,[1]OUT_TransportEnergyCons!F$4:F$10000))*1000</f>
        <v>1.5956371145686401E-2</v>
      </c>
      <c r="I2164" s="1" cm="1">
        <f t="array" ref="I2164">(SUMPRODUCT(("var_ncap"=[1]OUT_TransportEnergyCons!$B$4:$B$10000)*1,ISNUMBER(SEARCH("T_B_u*bev*s3",[1]OUT_TransportEnergyCons!$A$4:$A$10000))*1,[1]OUT_TransportEnergyCons!G$4:G$10000))*1000</f>
        <v>3.4859816077528101</v>
      </c>
      <c r="J2164" s="1" cm="1">
        <f t="array" ref="J2164">(SUMPRODUCT(("var_ncap"=[1]OUT_TransportEnergyCons!$B$4:$B$10000)*1,ISNUMBER(SEARCH("T_B_u*bev*s3",[1]OUT_TransportEnergyCons!$A$4:$A$10000))*1,[1]OUT_TransportEnergyCons!H$4:H$10000))*1000</f>
        <v>2.5346943463276297</v>
      </c>
      <c r="K2164" s="1" cm="1">
        <f t="array" ref="K2164">(SUMPRODUCT(("var_ncap"=[1]OUT_TransportEnergyCons!$B$4:$B$10000)*1,ISNUMBER(SEARCH("T_B_u*bev*s3",[1]OUT_TransportEnergyCons!$A$4:$A$10000))*1,[1]OUT_TransportEnergyCons!I$4:I$10000))*1000</f>
        <v>2.93509331748667</v>
      </c>
    </row>
    <row r="2165" spans="2:11" x14ac:dyDescent="0.35">
      <c r="B2165" s="5" t="str">
        <f t="shared" si="1308"/>
        <v>SPS2</v>
      </c>
      <c r="C2165" s="5" t="str">
        <f t="shared" si="1309"/>
        <v>CH</v>
      </c>
      <c r="D2165" t="s">
        <v>2315</v>
      </c>
      <c r="E2165" t="s">
        <v>2000</v>
      </c>
      <c r="F2165" s="1" cm="1">
        <f t="array" ref="F2165">(SUMPRODUCT(("var_ncap"=[1]OUT_TransportEnergyCons!$B$4:$B$10000)*1,ISNUMBER(SEARCH("T_B_u*bev*s4",[1]OUT_TransportEnergyCons!$A$4:$A$10000))*1,[1]OUT_TransportEnergyCons!D$4:D$10000))*1000</f>
        <v>0</v>
      </c>
      <c r="G2165" s="1" cm="1">
        <f t="array" ref="G2165">(SUMPRODUCT(("var_ncap"=[1]OUT_TransportEnergyCons!$B$4:$B$10000)*1,ISNUMBER(SEARCH("T_B_u*bev*s4",[1]OUT_TransportEnergyCons!$A$4:$A$10000))*1,[1]OUT_TransportEnergyCons!E$4:E$10000))*1000</f>
        <v>8.9858836772871203E-4</v>
      </c>
      <c r="H2165" s="1" cm="1">
        <f t="array" ref="H2165">(SUMPRODUCT(("var_ncap"=[1]OUT_TransportEnergyCons!$B$4:$B$10000)*1,ISNUMBER(SEARCH("T_B_u*bev*s4",[1]OUT_TransportEnergyCons!$A$4:$A$10000))*1,[1]OUT_TransportEnergyCons!F$4:F$10000))*1000</f>
        <v>1.2536882204973101E-3</v>
      </c>
      <c r="I2165" s="1" cm="1">
        <f t="array" ref="I2165">(SUMPRODUCT(("var_ncap"=[1]OUT_TransportEnergyCons!$B$4:$B$10000)*1,ISNUMBER(SEARCH("T_B_u*bev*s4",[1]OUT_TransportEnergyCons!$A$4:$A$10000))*1,[1]OUT_TransportEnergyCons!G$4:G$10000))*1000</f>
        <v>0.42154174876936495</v>
      </c>
      <c r="J2165" s="1" cm="1">
        <f t="array" ref="J2165">(SUMPRODUCT(("var_ncap"=[1]OUT_TransportEnergyCons!$B$4:$B$10000)*1,ISNUMBER(SEARCH("T_B_u*bev*s4",[1]OUT_TransportEnergyCons!$A$4:$A$10000))*1,[1]OUT_TransportEnergyCons!H$4:H$10000))*1000</f>
        <v>1.27967151556353E-3</v>
      </c>
      <c r="K2165" s="1" cm="1">
        <f t="array" ref="K2165">(SUMPRODUCT(("var_ncap"=[1]OUT_TransportEnergyCons!$B$4:$B$10000)*1,ISNUMBER(SEARCH("T_B_u*bev*s4",[1]OUT_TransportEnergyCons!$A$4:$A$10000))*1,[1]OUT_TransportEnergyCons!I$4:I$10000))*1000</f>
        <v>5.6175877799282097E-4</v>
      </c>
    </row>
    <row r="2166" spans="2:11" x14ac:dyDescent="0.35">
      <c r="B2166" s="5" t="str">
        <f t="shared" si="1308"/>
        <v>SPS2</v>
      </c>
      <c r="C2166" s="5" t="str">
        <f t="shared" si="1309"/>
        <v>CH</v>
      </c>
      <c r="D2166" t="s">
        <v>2316</v>
      </c>
      <c r="E2166" t="s">
        <v>2000</v>
      </c>
      <c r="F2166" s="1" cm="1">
        <f t="array" ref="F2166">(SUMPRODUCT(("var_ncap"=[1]OUT_TransportEnergyCons!$B$4:$B$10000)*1,ISNUMBER(SEARCH("T_B_u*h2o*s1",[1]OUT_TransportEnergyCons!$A$4:$A$10000))*1,[1]OUT_TransportEnergyCons!D$4:D$10000))*1000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(SUMPRODUCT(("var_ncap"=[1]OUT_TransportEnergyCons!$B$4:$B$10000)*1,ISNUMBER(SEARCH("T_B_u*h2o*s1",[1]OUT_TransportEnergyCons!$A$4:$A$10000))*1,[1]OUT_TransportEnergyCons!E$4:E$10000))*1000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(SUMPRODUCT(("var_ncap"=[1]OUT_TransportEnergyCons!$B$4:$B$10000)*1,ISNUMBER(SEARCH("T_B_u*h2o*s1",[1]OUT_TransportEnergyCons!$A$4:$A$10000))*1,[1]OUT_TransportEnergyCons!F$4:F$10000))*1000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(SUMPRODUCT(("var_ncap"=[1]OUT_TransportEnergyCons!$B$4:$B$10000)*1,ISNUMBER(SEARCH("T_B_u*h2o*s1",[1]OUT_TransportEnergyCons!$A$4:$A$10000))*1,[1]OUT_TransportEnergyCons!G$4:G$10000))*1000</f>
        <v>1.09704604941593E-4</v>
      </c>
      <c r="J2166" s="1" cm="1">
        <f t="array" ref="J2166">(SUMPRODUCT(("var_ncap"=[1]OUT_TransportEnergyCons!$B$4:$B$10000)*1,ISNUMBER(SEARCH("T_B_u*h2o*s1",[1]OUT_TransportEnergyCons!$A$4:$A$10000))*1,[1]OUT_TransportEnergyCons!H$4:H$10000))*1000</f>
        <v>7.3384796087333398E-5</v>
      </c>
      <c r="K2166" s="1" cm="1">
        <f t="array" ref="K2166">(SUMPRODUCT(("var_ncap"=[1]OUT_TransportEnergyCons!$B$4:$B$10000)*1,ISNUMBER(SEARCH("T_B_u*h2o*s1",[1]OUT_TransportEnergyCons!$A$4:$A$10000))*1,[1]OUT_TransportEnergyCons!I$4:I$10000))*1000</f>
        <v>5.2722875385131103E-5</v>
      </c>
    </row>
    <row r="2167" spans="2:11" x14ac:dyDescent="0.35">
      <c r="B2167" s="5" t="str">
        <f t="shared" si="1308"/>
        <v>SPS2</v>
      </c>
      <c r="C2167" s="5" t="str">
        <f t="shared" si="1309"/>
        <v>CH</v>
      </c>
      <c r="D2167" t="s">
        <v>2317</v>
      </c>
      <c r="E2167" t="s">
        <v>2000</v>
      </c>
      <c r="F2167" s="1" cm="1">
        <f t="array" ref="F2167">(SUMPRODUCT(("var_ncap"=[1]OUT_TransportEnergyCons!$B$4:$B$10000)*1,ISNUMBER(SEARCH("T_B_u*h2o*s2",[1]OUT_TransportEnergyCons!$A$4:$A$10000))*1,[1]OUT_TransportEnergyCons!D$4:D$10000))*1000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(SUMPRODUCT(("var_ncap"=[1]OUT_TransportEnergyCons!$B$4:$B$10000)*1,ISNUMBER(SEARCH("T_B_u*h2o*s2",[1]OUT_TransportEnergyCons!$A$4:$A$10000))*1,[1]OUT_TransportEnergyCons!E$4:E$10000))*1000</f>
        <v>0</v>
      </c>
      <c r="H2167" s="1" cm="1">
        <f t="array" ref="H2167">(SUMPRODUCT(("var_ncap"=[1]OUT_TransportEnergyCons!$B$4:$B$10000)*1,ISNUMBER(SEARCH("T_B_u*h2o*s2",[1]OUT_TransportEnergyCons!$A$4:$A$10000))*1,[1]OUT_TransportEnergyCons!F$4:F$10000))*1000</f>
        <v>0</v>
      </c>
      <c r="I2167" s="1" cm="1">
        <f t="array" ref="I2167">(SUMPRODUCT(("var_ncap"=[1]OUT_TransportEnergyCons!$B$4:$B$10000)*1,ISNUMBER(SEARCH("T_B_u*h2o*s2",[1]OUT_TransportEnergyCons!$A$4:$A$10000))*1,[1]OUT_TransportEnergyCons!G$4:G$10000))*1000</f>
        <v>3.5824295225495202E-5</v>
      </c>
      <c r="J2167" s="1" cm="1">
        <f t="array" ref="J2167">(SUMPRODUCT(("var_ncap"=[1]OUT_TransportEnergyCons!$B$4:$B$10000)*1,ISNUMBER(SEARCH("T_B_u*h2o*s2",[1]OUT_TransportEnergyCons!$A$4:$A$10000))*1,[1]OUT_TransportEnergyCons!H$4:H$10000))*1000</f>
        <v>3.4539547026360796E-5</v>
      </c>
      <c r="K2167" s="1" cm="1">
        <f t="array" ref="K2167">(SUMPRODUCT(("var_ncap"=[1]OUT_TransportEnergyCons!$B$4:$B$10000)*1,ISNUMBER(SEARCH("T_B_u*h2o*s2",[1]OUT_TransportEnergyCons!$A$4:$A$10000))*1,[1]OUT_TransportEnergyCons!I$4:I$10000))*1000</f>
        <v>3.3063572529942704E-5</v>
      </c>
    </row>
    <row r="2168" spans="2:11" x14ac:dyDescent="0.35">
      <c r="B2168" s="5" t="str">
        <f t="shared" si="1308"/>
        <v>SPS2</v>
      </c>
      <c r="C2168" s="5" t="str">
        <f t="shared" si="1309"/>
        <v>CH</v>
      </c>
      <c r="D2168" t="s">
        <v>2318</v>
      </c>
      <c r="E2168" t="s">
        <v>2000</v>
      </c>
      <c r="F2168" s="1" cm="1">
        <f t="array" ref="F2168">(SUMPRODUCT(("var_ncap"=[1]OUT_TransportEnergyCons!$B$4:$B$10000)*1,ISNUMBER(SEARCH("T_B_u*h2o*s3",[1]OUT_TransportEnergyCons!$A$4:$A$10000))*1,[1]OUT_TransportEnergyCons!D$4:D$10000))*1000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(SUMPRODUCT(("var_ncap"=[1]OUT_TransportEnergyCons!$B$4:$B$10000)*1,ISNUMBER(SEARCH("T_B_u*h2o*s3",[1]OUT_TransportEnergyCons!$A$4:$A$10000))*1,[1]OUT_TransportEnergyCons!E$4:E$10000))*1000</f>
        <v>0</v>
      </c>
      <c r="H2168" s="1" cm="1">
        <f t="array" ref="H2168">(SUMPRODUCT(("var_ncap"=[1]OUT_TransportEnergyCons!$B$4:$B$10000)*1,ISNUMBER(SEARCH("T_B_u*h2o*s3",[1]OUT_TransportEnergyCons!$A$4:$A$10000))*1,[1]OUT_TransportEnergyCons!F$4:F$10000))*1000</f>
        <v>0</v>
      </c>
      <c r="I2168" s="1" cm="1">
        <f t="array" ref="I2168">(SUMPRODUCT(("var_ncap"=[1]OUT_TransportEnergyCons!$B$4:$B$10000)*1,ISNUMBER(SEARCH("T_B_u*h2o*s3",[1]OUT_TransportEnergyCons!$A$4:$A$10000))*1,[1]OUT_TransportEnergyCons!G$4:G$10000))*1000</f>
        <v>2.92229166047214E-5</v>
      </c>
      <c r="J2168" s="1" cm="1">
        <f t="array" ref="J2168">(SUMPRODUCT(("var_ncap"=[1]OUT_TransportEnergyCons!$B$4:$B$10000)*1,ISNUMBER(SEARCH("T_B_u*h2o*s3",[1]OUT_TransportEnergyCons!$A$4:$A$10000))*1,[1]OUT_TransportEnergyCons!H$4:H$10000))*1000</f>
        <v>1.5112244107285899E-5</v>
      </c>
      <c r="K2168" s="1" cm="1">
        <f t="array" ref="K2168">(SUMPRODUCT(("var_ncap"=[1]OUT_TransportEnergyCons!$B$4:$B$10000)*1,ISNUMBER(SEARCH("T_B_u*h2o*s3",[1]OUT_TransportEnergyCons!$A$4:$A$10000))*1,[1]OUT_TransportEnergyCons!I$4:I$10000))*1000</f>
        <v>0</v>
      </c>
    </row>
    <row r="2169" spans="2:11" x14ac:dyDescent="0.35">
      <c r="B2169" s="5" t="str">
        <f t="shared" si="1308"/>
        <v>SPS2</v>
      </c>
      <c r="C2169" s="5" t="str">
        <f t="shared" si="1309"/>
        <v>CH</v>
      </c>
      <c r="D2169" t="s">
        <v>2319</v>
      </c>
      <c r="E2169" t="s">
        <v>2000</v>
      </c>
      <c r="F2169" s="1" cm="1">
        <f t="array" ref="F2169">(SUMPRODUCT(("var_ncap"=[1]OUT_TransportEnergyCons!$B$4:$B$10000)*1,ISNUMBER(SEARCH("T_B_u*h2o*s4",[1]OUT_TransportEnergyCons!$A$4:$A$10000))*1,[1]OUT_TransportEnergyCons!D$4:D$10000))*1000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(SUMPRODUCT(("var_ncap"=[1]OUT_TransportEnergyCons!$B$4:$B$10000)*1,ISNUMBER(SEARCH("T_B_u*h2o*s4",[1]OUT_TransportEnergyCons!$A$4:$A$10000))*1,[1]OUT_TransportEnergyCons!E$4:E$10000))*1000</f>
        <v>0</v>
      </c>
      <c r="H2169" s="1" cm="1">
        <f t="array" ref="H2169">(SUMPRODUCT(("var_ncap"=[1]OUT_TransportEnergyCons!$B$4:$B$10000)*1,ISNUMBER(SEARCH("T_B_u*h2o*s4",[1]OUT_TransportEnergyCons!$A$4:$A$10000))*1,[1]OUT_TransportEnergyCons!F$4:F$10000))*1000</f>
        <v>0</v>
      </c>
      <c r="I2169" s="1" cm="1">
        <f t="array" ref="I2169">(SUMPRODUCT(("var_ncap"=[1]OUT_TransportEnergyCons!$B$4:$B$10000)*1,ISNUMBER(SEARCH("T_B_u*h2o*s4",[1]OUT_TransportEnergyCons!$A$4:$A$10000))*1,[1]OUT_TransportEnergyCons!G$4:G$10000))*1000</f>
        <v>1.5577316462874298E-5</v>
      </c>
      <c r="J2169" s="1" cm="1">
        <f t="array" ref="J2169">(SUMPRODUCT(("var_ncap"=[1]OUT_TransportEnergyCons!$B$4:$B$10000)*1,ISNUMBER(SEARCH("T_B_u*h2o*s4",[1]OUT_TransportEnergyCons!$A$4:$A$10000))*1,[1]OUT_TransportEnergyCons!H$4:H$10000))*1000</f>
        <v>0</v>
      </c>
      <c r="K2169" s="1" cm="1">
        <f t="array" ref="K2169">(SUMPRODUCT(("var_ncap"=[1]OUT_TransportEnergyCons!$B$4:$B$10000)*1,ISNUMBER(SEARCH("T_B_u*h2o*s4",[1]OUT_TransportEnergyCons!$A$4:$A$10000))*1,[1]OUT_TransportEnergyCons!I$4:I$10000))*1000</f>
        <v>0</v>
      </c>
    </row>
    <row r="2170" spans="2:11" x14ac:dyDescent="0.35">
      <c r="B2170" s="5" t="str">
        <f t="shared" si="1308"/>
        <v>SPS2</v>
      </c>
      <c r="C2170" s="5" t="str">
        <f t="shared" si="1309"/>
        <v>CH</v>
      </c>
      <c r="D2170" t="s">
        <v>2320</v>
      </c>
      <c r="E2170" t="s">
        <v>2000</v>
      </c>
      <c r="F2170" s="1" cm="1">
        <f t="array" ref="F2170">(SUMPRODUCT(("var_ncap"=[1]OUT_TransportEnergyCons!$B$4:$B$10000)*1,ISNUMBER(SEARCH("T_B_u*hyb*DSL*s1",[1]OUT_TransportEnergyCons!$A$4:$A$10000))*1,[1]OUT_TransportEnergyCons!D$4:D$10000))*1000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(SUMPRODUCT(("var_ncap"=[1]OUT_TransportEnergyCons!$B$4:$B$10000)*1,ISNUMBER(SEARCH("T_B_u*hyb*DSL*s1",[1]OUT_TransportEnergyCons!$A$4:$A$10000))*1,[1]OUT_TransportEnergyCons!E$4:E$10000))*1000</f>
        <v>7.4576303729543492E-2</v>
      </c>
      <c r="H2170" s="1" cm="1">
        <f t="array" ref="H2170">(SUMPRODUCT(("var_ncap"=[1]OUT_TransportEnergyCons!$B$4:$B$10000)*1,ISNUMBER(SEARCH("T_B_u*hyb*DSL*s1",[1]OUT_TransportEnergyCons!$A$4:$A$10000))*1,[1]OUT_TransportEnergyCons!F$4:F$10000))*1000</f>
        <v>4.5291904280203802E-3</v>
      </c>
      <c r="I2170" s="1" cm="1">
        <f t="array" ref="I2170">(SUMPRODUCT(("var_ncap"=[1]OUT_TransportEnergyCons!$B$4:$B$10000)*1,ISNUMBER(SEARCH("T_B_u*hyb*DSL*s1",[1]OUT_TransportEnergyCons!$A$4:$A$10000))*1,[1]OUT_TransportEnergyCons!G$4:G$10000))*1000</f>
        <v>0</v>
      </c>
      <c r="J2170" s="1" cm="1">
        <f t="array" ref="J2170">(SUMPRODUCT(("var_ncap"=[1]OUT_TransportEnergyCons!$B$4:$B$10000)*1,ISNUMBER(SEARCH("T_B_u*hyb*DSL*s1",[1]OUT_TransportEnergyCons!$A$4:$A$10000))*1,[1]OUT_TransportEnergyCons!H$4:H$10000))*1000</f>
        <v>3.2339336630328501E-5</v>
      </c>
      <c r="K2170" s="1" cm="1">
        <f t="array" ref="K2170">(SUMPRODUCT(("var_ncap"=[1]OUT_TransportEnergyCons!$B$4:$B$10000)*1,ISNUMBER(SEARCH("T_B_u*hyb*DSL*s1",[1]OUT_TransportEnergyCons!$A$4:$A$10000))*1,[1]OUT_TransportEnergyCons!I$4:I$10000))*1000</f>
        <v>0</v>
      </c>
    </row>
    <row r="2171" spans="2:11" x14ac:dyDescent="0.35">
      <c r="B2171" s="5" t="str">
        <f t="shared" si="1308"/>
        <v>SPS2</v>
      </c>
      <c r="C2171" s="5" t="str">
        <f t="shared" si="1309"/>
        <v>CH</v>
      </c>
      <c r="D2171" t="s">
        <v>2321</v>
      </c>
      <c r="E2171" t="s">
        <v>2000</v>
      </c>
      <c r="F2171" s="1" cm="1">
        <f t="array" ref="F2171">(SUMPRODUCT(("var_ncap"=[1]OUT_TransportEnergyCons!$B$4:$B$10000)*1,ISNUMBER(SEARCH("T_B_u*hyb*DSL*s2",[1]OUT_TransportEnergyCons!$A$4:$A$10000))*1,[1]OUT_TransportEnergyCons!D$4:D$10000))*1000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(SUMPRODUCT(("var_ncap"=[1]OUT_TransportEnergyCons!$B$4:$B$10000)*1,ISNUMBER(SEARCH("T_B_u*hyb*DSL*s2",[1]OUT_TransportEnergyCons!$A$4:$A$10000))*1,[1]OUT_TransportEnergyCons!E$4:E$10000))*1000</f>
        <v>2.1156401390161898E-3</v>
      </c>
      <c r="H2171" s="1" cm="1">
        <f t="array" ref="H2171">(SUMPRODUCT(("var_ncap"=[1]OUT_TransportEnergyCons!$B$4:$B$10000)*1,ISNUMBER(SEARCH("T_B_u*hyb*DSL*s2",[1]OUT_TransportEnergyCons!$A$4:$A$10000))*1,[1]OUT_TransportEnergyCons!F$4:F$10000))*1000</f>
        <v>1.60833557157354E-3</v>
      </c>
      <c r="I2171" s="1" cm="1">
        <f t="array" ref="I2171">(SUMPRODUCT(("var_ncap"=[1]OUT_TransportEnergyCons!$B$4:$B$10000)*1,ISNUMBER(SEARCH("T_B_u*hyb*DSL*s2",[1]OUT_TransportEnergyCons!$A$4:$A$10000))*1,[1]OUT_TransportEnergyCons!G$4:G$10000))*1000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(SUMPRODUCT(("var_ncap"=[1]OUT_TransportEnergyCons!$B$4:$B$10000)*1,ISNUMBER(SEARCH("T_B_u*hyb*DSL*s2",[1]OUT_TransportEnergyCons!$A$4:$A$10000))*1,[1]OUT_TransportEnergyCons!H$4:H$10000))*1000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(SUMPRODUCT(("var_ncap"=[1]OUT_TransportEnergyCons!$B$4:$B$10000)*1,ISNUMBER(SEARCH("T_B_u*hyb*DSL*s2",[1]OUT_TransportEnergyCons!$A$4:$A$10000))*1,[1]OUT_TransportEnergyCons!I$4:I$10000))*1000</f>
        <v>0</v>
      </c>
    </row>
    <row r="2172" spans="2:11" x14ac:dyDescent="0.35">
      <c r="B2172" s="5" t="str">
        <f t="shared" si="1308"/>
        <v>SPS2</v>
      </c>
      <c r="C2172" s="5" t="str">
        <f t="shared" si="1309"/>
        <v>CH</v>
      </c>
      <c r="D2172" t="s">
        <v>2322</v>
      </c>
      <c r="E2172" t="s">
        <v>2000</v>
      </c>
      <c r="F2172" s="1" cm="1">
        <f t="array" ref="F2172">(SUMPRODUCT(("var_ncap"=[1]OUT_TransportEnergyCons!$B$4:$B$10000)*1,ISNUMBER(SEARCH("T_B_u*hyb*DSL*s3",[1]OUT_TransportEnergyCons!$A$4:$A$10000))*1,[1]OUT_TransportEnergyCons!D$4:D$10000))*1000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(SUMPRODUCT(("var_ncap"=[1]OUT_TransportEnergyCons!$B$4:$B$10000)*1,ISNUMBER(SEARCH("T_B_u*hyb*DSL*s3",[1]OUT_TransportEnergyCons!$A$4:$A$10000))*1,[1]OUT_TransportEnergyCons!E$4:E$10000))*1000</f>
        <v>2.2548076054410802E-3</v>
      </c>
      <c r="H2172" s="1" cm="1">
        <f t="array" ref="H2172">(SUMPRODUCT(("var_ncap"=[1]OUT_TransportEnergyCons!$B$4:$B$10000)*1,ISNUMBER(SEARCH("T_B_u*hyb*DSL*s3",[1]OUT_TransportEnergyCons!$A$4:$A$10000))*1,[1]OUT_TransportEnergyCons!F$4:F$10000))*1000</f>
        <v>1.15681705180988E-3</v>
      </c>
      <c r="I2172" s="1" cm="1">
        <f t="array" ref="I2172">(SUMPRODUCT(("var_ncap"=[1]OUT_TransportEnergyCons!$B$4:$B$10000)*1,ISNUMBER(SEARCH("T_B_u*hyb*DSL*s3",[1]OUT_TransportEnergyCons!$A$4:$A$10000))*1,[1]OUT_TransportEnergyCons!G$4:G$10000))*1000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(SUMPRODUCT(("var_ncap"=[1]OUT_TransportEnergyCons!$B$4:$B$10000)*1,ISNUMBER(SEARCH("T_B_u*hyb*DSL*s3",[1]OUT_TransportEnergyCons!$A$4:$A$10000))*1,[1]OUT_TransportEnergyCons!H$4:H$10000))*1000</f>
        <v>2.1672058034016898E-5</v>
      </c>
      <c r="K2172" s="1" cm="1">
        <f t="array" ref="K2172">(SUMPRODUCT(("var_ncap"=[1]OUT_TransportEnergyCons!$B$4:$B$10000)*1,ISNUMBER(SEARCH("T_B_u*hyb*DSL*s3",[1]OUT_TransportEnergyCons!$A$4:$A$10000))*1,[1]OUT_TransportEnergyCons!I$4:I$10000))*1000</f>
        <v>0</v>
      </c>
    </row>
    <row r="2173" spans="2:11" x14ac:dyDescent="0.35">
      <c r="B2173" s="5" t="str">
        <f t="shared" si="1308"/>
        <v>SPS2</v>
      </c>
      <c r="C2173" s="5" t="str">
        <f t="shared" si="1309"/>
        <v>CH</v>
      </c>
      <c r="D2173" t="s">
        <v>2323</v>
      </c>
      <c r="E2173" t="s">
        <v>2000</v>
      </c>
      <c r="F2173" s="1" cm="1">
        <f t="array" ref="F2173">(SUMPRODUCT(("var_ncap"=[1]OUT_TransportEnergyCons!$B$4:$B$10000)*1,ISNUMBER(SEARCH("T_B_u*hyb*DSL*s4",[1]OUT_TransportEnergyCons!$A$4:$A$10000))*1,[1]OUT_TransportEnergyCons!D$4:D$10000))*1000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(SUMPRODUCT(("var_ncap"=[1]OUT_TransportEnergyCons!$B$4:$B$10000)*1,ISNUMBER(SEARCH("T_B_u*hyb*DSL*s4",[1]OUT_TransportEnergyCons!$A$4:$A$10000))*1,[1]OUT_TransportEnergyCons!E$4:E$10000))*1000</f>
        <v>8.5132786443835602E-5</v>
      </c>
      <c r="H2173" s="1" cm="1">
        <f t="array" ref="H2173">(SUMPRODUCT(("var_ncap"=[1]OUT_TransportEnergyCons!$B$4:$B$10000)*1,ISNUMBER(SEARCH("T_B_u*hyb*DSL*s4",[1]OUT_TransportEnergyCons!$A$4:$A$10000))*1,[1]OUT_TransportEnergyCons!F$4:F$10000))*1000</f>
        <v>7.3727899693710206E-5</v>
      </c>
      <c r="I2173" s="1" cm="1">
        <f t="array" ref="I2173">(SUMPRODUCT(("var_ncap"=[1]OUT_TransportEnergyCons!$B$4:$B$10000)*1,ISNUMBER(SEARCH("T_B_u*hyb*DSL*s4",[1]OUT_TransportEnergyCons!$A$4:$A$10000))*1,[1]OUT_TransportEnergyCons!G$4:G$10000))*1000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(SUMPRODUCT(("var_ncap"=[1]OUT_TransportEnergyCons!$B$4:$B$10000)*1,ISNUMBER(SEARCH("T_B_u*hyb*DSL*s4",[1]OUT_TransportEnergyCons!$A$4:$A$10000))*1,[1]OUT_TransportEnergyCons!H$4:H$10000))*1000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(SUMPRODUCT(("var_ncap"=[1]OUT_TransportEnergyCons!$B$4:$B$10000)*1,ISNUMBER(SEARCH("T_B_u*hyb*DSL*s4",[1]OUT_TransportEnergyCons!$A$4:$A$10000))*1,[1]OUT_TransportEnergyCons!I$4:I$10000))*1000</f>
        <v>0</v>
      </c>
    </row>
    <row r="2174" spans="2:11" x14ac:dyDescent="0.35">
      <c r="B2174" s="5" t="str">
        <f t="shared" ref="B2174:B2237" si="1312">B2173</f>
        <v>SPS2</v>
      </c>
      <c r="C2174" s="5" t="str">
        <f t="shared" ref="C2174:C2237" si="1313">C2173</f>
        <v>CH</v>
      </c>
      <c r="D2174" t="s">
        <v>2324</v>
      </c>
      <c r="E2174" t="s">
        <v>2000</v>
      </c>
      <c r="F2174" s="1" cm="1">
        <f t="array" ref="F2174">(SUMPRODUCT(("var_ncap"=[1]OUT_TransportEnergyCons!$B$4:$B$10000)*1,ISNUMBER(SEARCH("T_B_u*ICE*DSL*ext",[1]OUT_TransportEnergyCons!$A$4:$A$10000))*1,[1]OUT_TransportEnergyCons!D$4:D$10000))*1000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(SUMPRODUCT(("var_ncap"=[1]OUT_TransportEnergyCons!$B$4:$B$10000)*1,ISNUMBER(SEARCH("T_B_u*ICE*DSL*ext",[1]OUT_TransportEnergyCons!$A$4:$A$10000))*1,[1]OUT_TransportEnergyCons!E$4:E$10000))*1000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(SUMPRODUCT(("var_ncap"=[1]OUT_TransportEnergyCons!$B$4:$B$10000)*1,ISNUMBER(SEARCH("T_B_u*ICE*DSL*ext",[1]OUT_TransportEnergyCons!$A$4:$A$10000))*1,[1]OUT_TransportEnergyCons!F$4:F$10000))*1000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(SUMPRODUCT(("var_ncap"=[1]OUT_TransportEnergyCons!$B$4:$B$10000)*1,ISNUMBER(SEARCH("T_B_u*ICE*DSL*ext",[1]OUT_TransportEnergyCons!$A$4:$A$10000))*1,[1]OUT_TransportEnergyCons!G$4:G$10000))*1000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(SUMPRODUCT(("var_ncap"=[1]OUT_TransportEnergyCons!$B$4:$B$10000)*1,ISNUMBER(SEARCH("T_B_u*ICE*DSL*ext",[1]OUT_TransportEnergyCons!$A$4:$A$10000))*1,[1]OUT_TransportEnergyCons!H$4:H$10000))*1000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(SUMPRODUCT(("var_ncap"=[1]OUT_TransportEnergyCons!$B$4:$B$10000)*1,ISNUMBER(SEARCH("T_B_u*ICE*DSL*ext",[1]OUT_TransportEnergyCons!$A$4:$A$10000))*1,[1]OUT_TransportEnergyCons!I$4:I$10000))*1000</f>
        <v>0</v>
      </c>
    </row>
    <row r="2175" spans="2:11" x14ac:dyDescent="0.35">
      <c r="B2175" s="5" t="str">
        <f t="shared" si="1312"/>
        <v>SPS2</v>
      </c>
      <c r="C2175" s="5" t="str">
        <f t="shared" si="1313"/>
        <v>CH</v>
      </c>
      <c r="D2175" t="s">
        <v>2325</v>
      </c>
      <c r="E2175" t="s">
        <v>2000</v>
      </c>
      <c r="F2175" s="1" cm="1">
        <f t="array" ref="F2175">(SUMPRODUCT(("var_ncap"=[1]OUT_TransportEnergyCons!$B$4:$B$10000)*1,ISNUMBER(SEARCH("T_B_u*ICE*DSL*s1",[1]OUT_TransportEnergyCons!$A$4:$A$10000))*1,[1]OUT_TransportEnergyCons!D$4:D$10000))*1000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(SUMPRODUCT(("var_ncap"=[1]OUT_TransportEnergyCons!$B$4:$B$10000)*1,ISNUMBER(SEARCH("T_B_u*ICE*DSL*s1",[1]OUT_TransportEnergyCons!$A$4:$A$10000))*1,[1]OUT_TransportEnergyCons!E$4:E$10000))*1000</f>
        <v>0.51233530804182392</v>
      </c>
      <c r="H2175" s="1" cm="1">
        <f t="array" ref="H2175">(SUMPRODUCT(("var_ncap"=[1]OUT_TransportEnergyCons!$B$4:$B$10000)*1,ISNUMBER(SEARCH("T_B_u*ICE*DSL*s1",[1]OUT_TransportEnergyCons!$A$4:$A$10000))*1,[1]OUT_TransportEnergyCons!F$4:F$10000))*1000</f>
        <v>0.49147232654154605</v>
      </c>
      <c r="I2175" s="1" cm="1">
        <f t="array" ref="I2175">(SUMPRODUCT(("var_ncap"=[1]OUT_TransportEnergyCons!$B$4:$B$10000)*1,ISNUMBER(SEARCH("T_B_u*ICE*DSL*s1",[1]OUT_TransportEnergyCons!$A$4:$A$10000))*1,[1]OUT_TransportEnergyCons!G$4:G$10000))*1000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(SUMPRODUCT(("var_ncap"=[1]OUT_TransportEnergyCons!$B$4:$B$10000)*1,ISNUMBER(SEARCH("T_B_u*ICE*DSL*s1",[1]OUT_TransportEnergyCons!$A$4:$A$10000))*1,[1]OUT_TransportEnergyCons!H$4:H$10000))*1000</f>
        <v>2.9399350516420198E-5</v>
      </c>
      <c r="K2175" s="1" cm="1">
        <f t="array" ref="K2175">(SUMPRODUCT(("var_ncap"=[1]OUT_TransportEnergyCons!$B$4:$B$10000)*1,ISNUMBER(SEARCH("T_B_u*ICE*DSL*s1",[1]OUT_TransportEnergyCons!$A$4:$A$10000))*1,[1]OUT_TransportEnergyCons!I$4:I$10000))*1000</f>
        <v>0</v>
      </c>
    </row>
    <row r="2176" spans="2:11" x14ac:dyDescent="0.35">
      <c r="B2176" s="5" t="str">
        <f t="shared" si="1312"/>
        <v>SPS2</v>
      </c>
      <c r="C2176" s="5" t="str">
        <f t="shared" si="1313"/>
        <v>CH</v>
      </c>
      <c r="D2176" t="s">
        <v>2326</v>
      </c>
      <c r="E2176" t="s">
        <v>2000</v>
      </c>
      <c r="F2176" s="1" cm="1">
        <f t="array" ref="F2176">(SUMPRODUCT(("var_ncap"=[1]OUT_TransportEnergyCons!$B$4:$B$10000)*1,ISNUMBER(SEARCH("T_B_u*ICE*DSL*s2",[1]OUT_TransportEnergyCons!$A$4:$A$10000))*1,[1]OUT_TransportEnergyCons!D$4:D$10000))*1000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(SUMPRODUCT(("var_ncap"=[1]OUT_TransportEnergyCons!$B$4:$B$10000)*1,ISNUMBER(SEARCH("T_B_u*ICE*DSL*s2",[1]OUT_TransportEnergyCons!$A$4:$A$10000))*1,[1]OUT_TransportEnergyCons!E$4:E$10000))*1000</f>
        <v>3.94891765031873E-3</v>
      </c>
      <c r="H2176" s="1" cm="1">
        <f t="array" ref="H2176">(SUMPRODUCT(("var_ncap"=[1]OUT_TransportEnergyCons!$B$4:$B$10000)*1,ISNUMBER(SEARCH("T_B_u*ICE*DSL*s2",[1]OUT_TransportEnergyCons!$A$4:$A$10000))*1,[1]OUT_TransportEnergyCons!F$4:F$10000))*1000</f>
        <v>0.14425927851419301</v>
      </c>
      <c r="I2176" s="1" cm="1">
        <f t="array" ref="I2176">(SUMPRODUCT(("var_ncap"=[1]OUT_TransportEnergyCons!$B$4:$B$10000)*1,ISNUMBER(SEARCH("T_B_u*ICE*DSL*s2",[1]OUT_TransportEnergyCons!$A$4:$A$10000))*1,[1]OUT_TransportEnergyCons!G$4:G$10000))*1000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(SUMPRODUCT(("var_ncap"=[1]OUT_TransportEnergyCons!$B$4:$B$10000)*1,ISNUMBER(SEARCH("T_B_u*ICE*DSL*s2",[1]OUT_TransportEnergyCons!$A$4:$A$10000))*1,[1]OUT_TransportEnergyCons!H$4:H$10000))*1000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(SUMPRODUCT(("var_ncap"=[1]OUT_TransportEnergyCons!$B$4:$B$10000)*1,ISNUMBER(SEARCH("T_B_u*ICE*DSL*s2",[1]OUT_TransportEnergyCons!$A$4:$A$10000))*1,[1]OUT_TransportEnergyCons!I$4:I$10000))*1000</f>
        <v>0</v>
      </c>
    </row>
    <row r="2177" spans="2:11" x14ac:dyDescent="0.35">
      <c r="B2177" s="5" t="str">
        <f t="shared" si="1312"/>
        <v>SPS2</v>
      </c>
      <c r="C2177" s="5" t="str">
        <f t="shared" si="1313"/>
        <v>CH</v>
      </c>
      <c r="D2177" t="s">
        <v>2327</v>
      </c>
      <c r="E2177" t="s">
        <v>2000</v>
      </c>
      <c r="F2177" s="1" cm="1">
        <f t="array" ref="F2177">(SUMPRODUCT(("var_ncap"=[1]OUT_TransportEnergyCons!$B$4:$B$10000)*1,ISNUMBER(SEARCH("T_B_u*ICE*DSL*s3",[1]OUT_TransportEnergyCons!$A$4:$A$10000))*1,[1]OUT_TransportEnergyCons!D$4:D$10000))*1000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(SUMPRODUCT(("var_ncap"=[1]OUT_TransportEnergyCons!$B$4:$B$10000)*1,ISNUMBER(SEARCH("T_B_u*ICE*DSL*s3",[1]OUT_TransportEnergyCons!$A$4:$A$10000))*1,[1]OUT_TransportEnergyCons!E$4:E$10000))*1000</f>
        <v>3.0232737206322201E-2</v>
      </c>
      <c r="H2177" s="1" cm="1">
        <f t="array" ref="H2177">(SUMPRODUCT(("var_ncap"=[1]OUT_TransportEnergyCons!$B$4:$B$10000)*1,ISNUMBER(SEARCH("T_B_u*ICE*DSL*s3",[1]OUT_TransportEnergyCons!$A$4:$A$10000))*1,[1]OUT_TransportEnergyCons!F$4:F$10000))*1000</f>
        <v>0.79685554780701706</v>
      </c>
      <c r="I2177" s="1" cm="1">
        <f t="array" ref="I2177">(SUMPRODUCT(("var_ncap"=[1]OUT_TransportEnergyCons!$B$4:$B$10000)*1,ISNUMBER(SEARCH("T_B_u*ICE*DSL*s3",[1]OUT_TransportEnergyCons!$A$4:$A$10000))*1,[1]OUT_TransportEnergyCons!G$4:G$10000))*1000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(SUMPRODUCT(("var_ncap"=[1]OUT_TransportEnergyCons!$B$4:$B$10000)*1,ISNUMBER(SEARCH("T_B_u*ICE*DSL*s3",[1]OUT_TransportEnergyCons!$A$4:$A$10000))*1,[1]OUT_TransportEnergyCons!H$4:H$10000))*1000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(SUMPRODUCT(("var_ncap"=[1]OUT_TransportEnergyCons!$B$4:$B$10000)*1,ISNUMBER(SEARCH("T_B_u*ICE*DSL*s3",[1]OUT_TransportEnergyCons!$A$4:$A$10000))*1,[1]OUT_TransportEnergyCons!I$4:I$10000))*1000</f>
        <v>0</v>
      </c>
    </row>
    <row r="2178" spans="2:11" x14ac:dyDescent="0.35">
      <c r="B2178" s="5" t="str">
        <f t="shared" si="1312"/>
        <v>SPS2</v>
      </c>
      <c r="C2178" s="5" t="str">
        <f t="shared" si="1313"/>
        <v>CH</v>
      </c>
      <c r="D2178" t="s">
        <v>2328</v>
      </c>
      <c r="E2178" t="s">
        <v>2000</v>
      </c>
      <c r="F2178" s="1" cm="1">
        <f t="array" ref="F2178">(SUMPRODUCT(("var_ncap"=[1]OUT_TransportEnergyCons!$B$4:$B$10000)*1,ISNUMBER(SEARCH("T_B_u*ICE*DSL*s4",[1]OUT_TransportEnergyCons!$A$4:$A$10000))*1,[1]OUT_TransportEnergyCons!D$4:D$10000))*1000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(SUMPRODUCT(("var_ncap"=[1]OUT_TransportEnergyCons!$B$4:$B$10000)*1,ISNUMBER(SEARCH("T_B_u*ICE*DSL*s4",[1]OUT_TransportEnergyCons!$A$4:$A$10000))*1,[1]OUT_TransportEnergyCons!E$4:E$10000))*1000</f>
        <v>1.00048597144212E-4</v>
      </c>
      <c r="H2178" s="1" cm="1">
        <f t="array" ref="H2178">(SUMPRODUCT(("var_ncap"=[1]OUT_TransportEnergyCons!$B$4:$B$10000)*1,ISNUMBER(SEARCH("T_B_u*ICE*DSL*s4",[1]OUT_TransportEnergyCons!$A$4:$A$10000))*1,[1]OUT_TransportEnergyCons!F$4:F$10000))*1000</f>
        <v>9.64925167772155E-5</v>
      </c>
      <c r="I2178" s="1" cm="1">
        <f t="array" ref="I2178">(SUMPRODUCT(("var_ncap"=[1]OUT_TransportEnergyCons!$B$4:$B$10000)*1,ISNUMBER(SEARCH("T_B_u*ICE*DSL*s4",[1]OUT_TransportEnergyCons!$A$4:$A$10000))*1,[1]OUT_TransportEnergyCons!G$4:G$10000))*1000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(SUMPRODUCT(("var_ncap"=[1]OUT_TransportEnergyCons!$B$4:$B$10000)*1,ISNUMBER(SEARCH("T_B_u*ICE*DSL*s4",[1]OUT_TransportEnergyCons!$A$4:$A$10000))*1,[1]OUT_TransportEnergyCons!H$4:H$10000))*1000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(SUMPRODUCT(("var_ncap"=[1]OUT_TransportEnergyCons!$B$4:$B$10000)*1,ISNUMBER(SEARCH("T_B_u*ICE*DSL*s4",[1]OUT_TransportEnergyCons!$A$4:$A$10000))*1,[1]OUT_TransportEnergyCons!I$4:I$10000))*1000</f>
        <v>0</v>
      </c>
    </row>
    <row r="2179" spans="2:11" x14ac:dyDescent="0.35">
      <c r="B2179" s="5" t="str">
        <f t="shared" si="1312"/>
        <v>SPS2</v>
      </c>
      <c r="C2179" s="5" t="str">
        <f t="shared" si="1313"/>
        <v>CH</v>
      </c>
      <c r="D2179" t="s">
        <v>2329</v>
      </c>
      <c r="E2179" t="s">
        <v>2000</v>
      </c>
      <c r="F2179" s="1" cm="1">
        <f t="array" ref="F2179">(SUMPRODUCT(("var_ncap"=[1]OUT_TransportEnergyCons!$B$4:$B$10000)*1,ISNUMBER(SEARCH("T_B_u*ICE*nga*ext",[1]OUT_TransportEnergyCons!$A$4:$A$10000))*1,[1]OUT_TransportEnergyCons!D$4:D$10000))*1000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(SUMPRODUCT(("var_ncap"=[1]OUT_TransportEnergyCons!$B$4:$B$10000)*1,ISNUMBER(SEARCH("T_B_u*ICE*nga*ext",[1]OUT_TransportEnergyCons!$A$4:$A$10000))*1,[1]OUT_TransportEnergyCons!E$4:E$10000))*1000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(SUMPRODUCT(("var_ncap"=[1]OUT_TransportEnergyCons!$B$4:$B$10000)*1,ISNUMBER(SEARCH("T_B_u*ICE*nga*ext",[1]OUT_TransportEnergyCons!$A$4:$A$10000))*1,[1]OUT_TransportEnergyCons!F$4:F$10000))*1000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(SUMPRODUCT(("var_ncap"=[1]OUT_TransportEnergyCons!$B$4:$B$10000)*1,ISNUMBER(SEARCH("T_B_u*ICE*nga*ext",[1]OUT_TransportEnergyCons!$A$4:$A$10000))*1,[1]OUT_TransportEnergyCons!G$4:G$10000))*1000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(SUMPRODUCT(("var_ncap"=[1]OUT_TransportEnergyCons!$B$4:$B$10000)*1,ISNUMBER(SEARCH("T_B_u*ICE*nga*ext",[1]OUT_TransportEnergyCons!$A$4:$A$10000))*1,[1]OUT_TransportEnergyCons!H$4:H$10000))*1000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(SUMPRODUCT(("var_ncap"=[1]OUT_TransportEnergyCons!$B$4:$B$10000)*1,ISNUMBER(SEARCH("T_B_u*ICE*nga*ext",[1]OUT_TransportEnergyCons!$A$4:$A$10000))*1,[1]OUT_TransportEnergyCons!I$4:I$10000))*1000</f>
        <v>0</v>
      </c>
    </row>
    <row r="2180" spans="2:11" x14ac:dyDescent="0.35">
      <c r="B2180" s="5" t="str">
        <f t="shared" si="1312"/>
        <v>SPS2</v>
      </c>
      <c r="C2180" s="5" t="str">
        <f t="shared" si="1313"/>
        <v>CH</v>
      </c>
      <c r="D2180" t="s">
        <v>2330</v>
      </c>
      <c r="E2180" t="s">
        <v>2000</v>
      </c>
      <c r="F2180" s="1" cm="1">
        <f t="array" ref="F2180">(SUMPRODUCT(("var_ncap"=[1]OUT_TransportEnergyCons!$B$4:$B$10000)*1,ISNUMBER(SEARCH("T_B_u*ICE*nga*s1",[1]OUT_TransportEnergyCons!$A$4:$A$10000))*1,[1]OUT_TransportEnergyCons!D$4:D$10000))*1000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(SUMPRODUCT(("var_ncap"=[1]OUT_TransportEnergyCons!$B$4:$B$10000)*1,ISNUMBER(SEARCH("T_B_u*ICE*nga*s1",[1]OUT_TransportEnergyCons!$A$4:$A$10000))*1,[1]OUT_TransportEnergyCons!E$4:E$10000))*1000</f>
        <v>7.91366076712402E-3</v>
      </c>
      <c r="H2180" s="1" cm="1">
        <f t="array" ref="H2180">(SUMPRODUCT(("var_ncap"=[1]OUT_TransportEnergyCons!$B$4:$B$10000)*1,ISNUMBER(SEARCH("T_B_u*ICE*nga*s1",[1]OUT_TransportEnergyCons!$A$4:$A$10000))*1,[1]OUT_TransportEnergyCons!F$4:F$10000))*1000</f>
        <v>3.6109279260602501E-3</v>
      </c>
      <c r="I2180" s="1" cm="1">
        <f t="array" ref="I2180">(SUMPRODUCT(("var_ncap"=[1]OUT_TransportEnergyCons!$B$4:$B$10000)*1,ISNUMBER(SEARCH("T_B_u*ICE*nga*s1",[1]OUT_TransportEnergyCons!$A$4:$A$10000))*1,[1]OUT_TransportEnergyCons!G$4:G$10000))*1000</f>
        <v>6.2045614314388292E-5</v>
      </c>
      <c r="J2180" s="1" cm="1">
        <f t="array" ref="J2180">(SUMPRODUCT(("var_ncap"=[1]OUT_TransportEnergyCons!$B$4:$B$10000)*1,ISNUMBER(SEARCH("T_B_u*ICE*nga*s1",[1]OUT_TransportEnergyCons!$A$4:$A$10000))*1,[1]OUT_TransportEnergyCons!H$4:H$10000))*1000</f>
        <v>8.9011121345526596E-5</v>
      </c>
      <c r="K2180" s="1" cm="1">
        <f t="array" ref="K2180">(SUMPRODUCT(("var_ncap"=[1]OUT_TransportEnergyCons!$B$4:$B$10000)*1,ISNUMBER(SEARCH("T_B_u*ICE*nga*s1",[1]OUT_TransportEnergyCons!$A$4:$A$10000))*1,[1]OUT_TransportEnergyCons!I$4:I$10000))*1000</f>
        <v>0</v>
      </c>
    </row>
    <row r="2181" spans="2:11" x14ac:dyDescent="0.35">
      <c r="B2181" s="5" t="str">
        <f t="shared" si="1312"/>
        <v>SPS2</v>
      </c>
      <c r="C2181" s="5" t="str">
        <f t="shared" si="1313"/>
        <v>CH</v>
      </c>
      <c r="D2181" t="s">
        <v>2331</v>
      </c>
      <c r="E2181" t="s">
        <v>2000</v>
      </c>
      <c r="F2181" s="1" cm="1">
        <f t="array" ref="F2181">(SUMPRODUCT(("var_ncap"=[1]OUT_TransportEnergyCons!$B$4:$B$10000)*1,ISNUMBER(SEARCH("T_B_u*ICE*nga*s2",[1]OUT_TransportEnergyCons!$A$4:$A$10000))*1,[1]OUT_TransportEnergyCons!D$4:D$10000))*1000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(SUMPRODUCT(("var_ncap"=[1]OUT_TransportEnergyCons!$B$4:$B$10000)*1,ISNUMBER(SEARCH("T_B_u*ICE*nga*s2",[1]OUT_TransportEnergyCons!$A$4:$A$10000))*1,[1]OUT_TransportEnergyCons!E$4:E$10000))*1000</f>
        <v>2.2598996297804202E-3</v>
      </c>
      <c r="H2181" s="1" cm="1">
        <f t="array" ref="H2181">(SUMPRODUCT(("var_ncap"=[1]OUT_TransportEnergyCons!$B$4:$B$10000)*1,ISNUMBER(SEARCH("T_B_u*ICE*nga*s2",[1]OUT_TransportEnergyCons!$A$4:$A$10000))*1,[1]OUT_TransportEnergyCons!F$4:F$10000))*1000</f>
        <v>5.8382696500949797E-3</v>
      </c>
      <c r="I2181" s="1" cm="1">
        <f t="array" ref="I2181">(SUMPRODUCT(("var_ncap"=[1]OUT_TransportEnergyCons!$B$4:$B$10000)*1,ISNUMBER(SEARCH("T_B_u*ICE*nga*s2",[1]OUT_TransportEnergyCons!$A$4:$A$10000))*1,[1]OUT_TransportEnergyCons!G$4:G$10000))*1000</f>
        <v>3.0510988607805798E-5</v>
      </c>
      <c r="J2181" s="1" cm="1">
        <f t="array" ref="J2181">(SUMPRODUCT(("var_ncap"=[1]OUT_TransportEnergyCons!$B$4:$B$10000)*1,ISNUMBER(SEARCH("T_B_u*ICE*nga*s2",[1]OUT_TransportEnergyCons!$A$4:$A$10000))*1,[1]OUT_TransportEnergyCons!H$4:H$10000))*1000</f>
        <v>4.41234810226117E-5</v>
      </c>
      <c r="K2181" s="1" cm="1">
        <f t="array" ref="K2181">(SUMPRODUCT(("var_ncap"=[1]OUT_TransportEnergyCons!$B$4:$B$10000)*1,ISNUMBER(SEARCH("T_B_u*ICE*nga*s2",[1]OUT_TransportEnergyCons!$A$4:$A$10000))*1,[1]OUT_TransportEnergyCons!I$4:I$10000))*1000</f>
        <v>0</v>
      </c>
    </row>
    <row r="2182" spans="2:11" x14ac:dyDescent="0.35">
      <c r="B2182" s="5" t="str">
        <f t="shared" si="1312"/>
        <v>SPS2</v>
      </c>
      <c r="C2182" s="5" t="str">
        <f t="shared" si="1313"/>
        <v>CH</v>
      </c>
      <c r="D2182" t="s">
        <v>2332</v>
      </c>
      <c r="E2182" t="s">
        <v>2000</v>
      </c>
      <c r="F2182" s="1" cm="1">
        <f t="array" ref="F2182">(SUMPRODUCT(("var_ncap"=[1]OUT_TransportEnergyCons!$B$4:$B$10000)*1,ISNUMBER(SEARCH("T_B_u*ICE*nga*s3",[1]OUT_TransportEnergyCons!$A$4:$A$10000))*1,[1]OUT_TransportEnergyCons!D$4:D$10000))*1000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(SUMPRODUCT(("var_ncap"=[1]OUT_TransportEnergyCons!$B$4:$B$10000)*1,ISNUMBER(SEARCH("T_B_u*ICE*nga*s3",[1]OUT_TransportEnergyCons!$A$4:$A$10000))*1,[1]OUT_TransportEnergyCons!E$4:E$10000))*1000</f>
        <v>1.99449457964444E-3</v>
      </c>
      <c r="H2182" s="1" cm="1">
        <f t="array" ref="H2182">(SUMPRODUCT(("var_ncap"=[1]OUT_TransportEnergyCons!$B$4:$B$10000)*1,ISNUMBER(SEARCH("T_B_u*ICE*nga*s3",[1]OUT_TransportEnergyCons!$A$4:$A$10000))*1,[1]OUT_TransportEnergyCons!F$4:F$10000))*1000</f>
        <v>1.8766021401607002E-2</v>
      </c>
      <c r="I2182" s="1" cm="1">
        <f t="array" ref="I2182">(SUMPRODUCT(("var_ncap"=[1]OUT_TransportEnergyCons!$B$4:$B$10000)*1,ISNUMBER(SEARCH("T_B_u*ICE*nga*s3",[1]OUT_TransportEnergyCons!$A$4:$A$10000))*1,[1]OUT_TransportEnergyCons!G$4:G$10000))*1000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(SUMPRODUCT(("var_ncap"=[1]OUT_TransportEnergyCons!$B$4:$B$10000)*1,ISNUMBER(SEARCH("T_B_u*ICE*nga*s3",[1]OUT_TransportEnergyCons!$A$4:$A$10000))*1,[1]OUT_TransportEnergyCons!H$4:H$10000))*1000</f>
        <v>4.90338773358754E-5</v>
      </c>
      <c r="K2182" s="1" cm="1">
        <f t="array" ref="K2182">(SUMPRODUCT(("var_ncap"=[1]OUT_TransportEnergyCons!$B$4:$B$10000)*1,ISNUMBER(SEARCH("T_B_u*ICE*nga*s3",[1]OUT_TransportEnergyCons!$A$4:$A$10000))*1,[1]OUT_TransportEnergyCons!I$4:I$10000))*1000</f>
        <v>0</v>
      </c>
    </row>
    <row r="2183" spans="2:11" x14ac:dyDescent="0.35">
      <c r="B2183" s="5" t="str">
        <f t="shared" si="1312"/>
        <v>SPS2</v>
      </c>
      <c r="C2183" s="5" t="str">
        <f t="shared" si="1313"/>
        <v>CH</v>
      </c>
      <c r="D2183" t="s">
        <v>2333</v>
      </c>
      <c r="E2183" t="s">
        <v>2000</v>
      </c>
      <c r="F2183" s="1" cm="1">
        <f t="array" ref="F2183">(SUMPRODUCT(("var_ncap"=[1]OUT_TransportEnergyCons!$B$4:$B$10000)*1,ISNUMBER(SEARCH("T_B_u*ICE*nga*s4",[1]OUT_TransportEnergyCons!$A$4:$A$10000))*1,[1]OUT_TransportEnergyCons!D$4:D$10000))*1000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(SUMPRODUCT(("var_ncap"=[1]OUT_TransportEnergyCons!$B$4:$B$10000)*1,ISNUMBER(SEARCH("T_B_u*ICE*nga*s4",[1]OUT_TransportEnergyCons!$A$4:$A$10000))*1,[1]OUT_TransportEnergyCons!E$4:E$10000))*1000</f>
        <v>4.70154067447204E-5</v>
      </c>
      <c r="H2183" s="1" cm="1">
        <f t="array" ref="H2183">(SUMPRODUCT(("var_ncap"=[1]OUT_TransportEnergyCons!$B$4:$B$10000)*1,ISNUMBER(SEARCH("T_B_u*ICE*nga*s4",[1]OUT_TransportEnergyCons!$A$4:$A$10000))*1,[1]OUT_TransportEnergyCons!F$4:F$10000))*1000</f>
        <v>6.0871372776864804E-5</v>
      </c>
      <c r="I2183" s="1" cm="1">
        <f t="array" ref="I2183">(SUMPRODUCT(("var_ncap"=[1]OUT_TransportEnergyCons!$B$4:$B$10000)*1,ISNUMBER(SEARCH("T_B_u*ICE*nga*s4",[1]OUT_TransportEnergyCons!$A$4:$A$10000))*1,[1]OUT_TransportEnergyCons!G$4:G$10000))*1000</f>
        <v>1.3996624925814499E-5</v>
      </c>
      <c r="J2183" s="1" cm="1">
        <f t="array" ref="J2183">(SUMPRODUCT(("var_ncap"=[1]OUT_TransportEnergyCons!$B$4:$B$10000)*1,ISNUMBER(SEARCH("T_B_u*ICE*nga*s4",[1]OUT_TransportEnergyCons!$A$4:$A$10000))*1,[1]OUT_TransportEnergyCons!H$4:H$10000))*1000</f>
        <v>2.6809999929191101E-5</v>
      </c>
      <c r="K2183" s="1" cm="1">
        <f t="array" ref="K2183">(SUMPRODUCT(("var_ncap"=[1]OUT_TransportEnergyCons!$B$4:$B$10000)*1,ISNUMBER(SEARCH("T_B_u*ICE*nga*s4",[1]OUT_TransportEnergyCons!$A$4:$A$10000))*1,[1]OUT_TransportEnergyCons!I$4:I$10000))*1000</f>
        <v>0</v>
      </c>
    </row>
    <row r="2184" spans="2:11" x14ac:dyDescent="0.35">
      <c r="B2184" s="5" t="str">
        <f t="shared" si="1312"/>
        <v>SPS2</v>
      </c>
      <c r="C2184" s="5" t="str">
        <f t="shared" si="1313"/>
        <v>CH</v>
      </c>
      <c r="D2184" s="2" t="s">
        <v>2186</v>
      </c>
      <c r="E2184" s="2" t="s">
        <v>2000</v>
      </c>
      <c r="F2184" s="3">
        <f t="shared" ref="F2184:K2184" si="1314">SUM(F2185:F2207)</f>
        <v>0</v>
      </c>
      <c r="G2184" s="3">
        <f t="shared" si="1314"/>
        <v>0.51416373433970008</v>
      </c>
      <c r="H2184" s="3">
        <f t="shared" si="1314"/>
        <v>0.21905807917264977</v>
      </c>
      <c r="I2184" s="3">
        <f t="shared" si="1314"/>
        <v>2.9166392054552501</v>
      </c>
      <c r="J2184" s="3">
        <f t="shared" si="1314"/>
        <v>1.0711263559563573</v>
      </c>
      <c r="K2184" s="3">
        <f t="shared" si="1314"/>
        <v>2.1392967403885814</v>
      </c>
    </row>
    <row r="2185" spans="2:11" x14ac:dyDescent="0.35">
      <c r="B2185" s="5" t="str">
        <f t="shared" si="1312"/>
        <v>SPS2</v>
      </c>
      <c r="C2185" s="5" t="str">
        <f t="shared" si="1313"/>
        <v>CH</v>
      </c>
      <c r="D2185" t="s">
        <v>2334</v>
      </c>
      <c r="E2185" t="s">
        <v>2000</v>
      </c>
      <c r="F2185" s="1" cm="1">
        <f t="array" ref="F2185">(SUMPRODUCT(("var_ncap"=[1]OUT_TransportEnergyCons!$B$4:$B$10000)*1,ISNUMBER(SEARCH("T_b_c*bev*ext",[1]OUT_TransportEnergyCons!$A$4:$A$10000))*1,[1]OUT_TransportEnergyCons!D$4:D$10000))*1000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(SUMPRODUCT(("var_ncap"=[1]OUT_TransportEnergyCons!$B$4:$B$10000)*1,ISNUMBER(SEARCH("T_b_c*bev*ext",[1]OUT_TransportEnergyCons!$A$4:$A$10000))*1,[1]OUT_TransportEnergyCons!E$4:E$10000))*1000</f>
        <v>0</v>
      </c>
      <c r="H2185" s="1" cm="1">
        <f t="array" ref="H2185">(SUMPRODUCT(("var_ncap"=[1]OUT_TransportEnergyCons!$B$4:$B$10000)*1,ISNUMBER(SEARCH("T_b_c*bev*ext",[1]OUT_TransportEnergyCons!$A$4:$A$10000))*1,[1]OUT_TransportEnergyCons!F$4:F$10000))*1000</f>
        <v>0</v>
      </c>
      <c r="I2185" s="1" cm="1">
        <f t="array" ref="I2185">(SUMPRODUCT(("var_ncap"=[1]OUT_TransportEnergyCons!$B$4:$B$10000)*1,ISNUMBER(SEARCH("T_b_c*bev*ext",[1]OUT_TransportEnergyCons!$A$4:$A$10000))*1,[1]OUT_TransportEnergyCons!G$4:G$10000))*1000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(SUMPRODUCT(("var_ncap"=[1]OUT_TransportEnergyCons!$B$4:$B$10000)*1,ISNUMBER(SEARCH("T_b_c*bev*ext",[1]OUT_TransportEnergyCons!$A$4:$A$10000))*1,[1]OUT_TransportEnergyCons!H$4:H$10000))*1000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(SUMPRODUCT(("var_ncap"=[1]OUT_TransportEnergyCons!$B$4:$B$10000)*1,ISNUMBER(SEARCH("T_b_c*bev*ext",[1]OUT_TransportEnergyCons!$A$4:$A$10000))*1,[1]OUT_TransportEnergyCons!I$4:I$10000))*1000</f>
        <v>0</v>
      </c>
    </row>
    <row r="2186" spans="2:11" x14ac:dyDescent="0.35">
      <c r="B2186" s="5" t="str">
        <f t="shared" si="1312"/>
        <v>SPS2</v>
      </c>
      <c r="C2186" s="5" t="str">
        <f t="shared" si="1313"/>
        <v>CH</v>
      </c>
      <c r="D2186" t="s">
        <v>2335</v>
      </c>
      <c r="E2186" t="s">
        <v>2000</v>
      </c>
      <c r="F2186" s="1" cm="1">
        <f t="array" ref="F2186">(SUMPRODUCT(("var_ncap"=[1]OUT_TransportEnergyCons!$B$4:$B$10000)*1,ISNUMBER(SEARCH("T_b_c*bev*s1",[1]OUT_TransportEnergyCons!$A$4:$A$10000))*1,[1]OUT_TransportEnergyCons!D$4:D$10000))*1000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(SUMPRODUCT(("var_ncap"=[1]OUT_TransportEnergyCons!$B$4:$B$10000)*1,ISNUMBER(SEARCH("T_b_c*bev*s1",[1]OUT_TransportEnergyCons!$A$4:$A$10000))*1,[1]OUT_TransportEnergyCons!E$4:E$10000))*1000</f>
        <v>1.13249400850098E-2</v>
      </c>
      <c r="H2186" s="1" cm="1">
        <f t="array" ref="H2186">(SUMPRODUCT(("var_ncap"=[1]OUT_TransportEnergyCons!$B$4:$B$10000)*1,ISNUMBER(SEARCH("T_b_c*bev*s1",[1]OUT_TransportEnergyCons!$A$4:$A$10000))*1,[1]OUT_TransportEnergyCons!F$4:F$10000))*1000</f>
        <v>1.7258652149429701E-2</v>
      </c>
      <c r="I2186" s="1" cm="1">
        <f t="array" ref="I2186">(SUMPRODUCT(("var_ncap"=[1]OUT_TransportEnergyCons!$B$4:$B$10000)*1,ISNUMBER(SEARCH("T_b_c*bev*s1",[1]OUT_TransportEnergyCons!$A$4:$A$10000))*1,[1]OUT_TransportEnergyCons!G$4:G$10000))*1000</f>
        <v>1.4078189956159</v>
      </c>
      <c r="J2186" s="1" cm="1">
        <f t="array" ref="J2186">(SUMPRODUCT(("var_ncap"=[1]OUT_TransportEnergyCons!$B$4:$B$10000)*1,ISNUMBER(SEARCH("T_b_c*bev*s1",[1]OUT_TransportEnergyCons!$A$4:$A$10000))*1,[1]OUT_TransportEnergyCons!H$4:H$10000))*1000</f>
        <v>6.1736256807667006E-2</v>
      </c>
      <c r="K2186" s="1" cm="1">
        <f t="array" ref="K2186">(SUMPRODUCT(("var_ncap"=[1]OUT_TransportEnergyCons!$B$4:$B$10000)*1,ISNUMBER(SEARCH("T_b_c*bev*s1",[1]OUT_TransportEnergyCons!$A$4:$A$10000))*1,[1]OUT_TransportEnergyCons!I$4:I$10000))*1000</f>
        <v>1.1812364287421502</v>
      </c>
    </row>
    <row r="2187" spans="2:11" x14ac:dyDescent="0.35">
      <c r="B2187" s="5" t="str">
        <f t="shared" si="1312"/>
        <v>SPS2</v>
      </c>
      <c r="C2187" s="5" t="str">
        <f t="shared" si="1313"/>
        <v>CH</v>
      </c>
      <c r="D2187" t="s">
        <v>2336</v>
      </c>
      <c r="E2187" t="s">
        <v>2000</v>
      </c>
      <c r="F2187" s="1" cm="1">
        <f t="array" ref="F2187">(SUMPRODUCT(("var_ncap"=[1]OUT_TransportEnergyCons!$B$4:$B$10000)*1,ISNUMBER(SEARCH("T_b_c*bev*s2",[1]OUT_TransportEnergyCons!$A$4:$A$10000))*1,[1]OUT_TransportEnergyCons!D$4:D$10000))*1000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(SUMPRODUCT(("var_ncap"=[1]OUT_TransportEnergyCons!$B$4:$B$10000)*1,ISNUMBER(SEARCH("T_b_c*bev*s2",[1]OUT_TransportEnergyCons!$A$4:$A$10000))*1,[1]OUT_TransportEnergyCons!E$4:E$10000))*1000</f>
        <v>2.01130903460845E-3</v>
      </c>
      <c r="H2187" s="1" cm="1">
        <f t="array" ref="H2187">(SUMPRODUCT(("var_ncap"=[1]OUT_TransportEnergyCons!$B$4:$B$10000)*1,ISNUMBER(SEARCH("T_b_c*bev*s2",[1]OUT_TransportEnergyCons!$A$4:$A$10000))*1,[1]OUT_TransportEnergyCons!F$4:F$10000))*1000</f>
        <v>3.6827204521052699E-3</v>
      </c>
      <c r="I2187" s="1" cm="1">
        <f t="array" ref="I2187">(SUMPRODUCT(("var_ncap"=[1]OUT_TransportEnergyCons!$B$4:$B$10000)*1,ISNUMBER(SEARCH("T_b_c*bev*s2",[1]OUT_TransportEnergyCons!$A$4:$A$10000))*1,[1]OUT_TransportEnergyCons!G$4:G$10000))*1000</f>
        <v>1.2431622880920701</v>
      </c>
      <c r="J2187" s="1" cm="1">
        <f t="array" ref="J2187">(SUMPRODUCT(("var_ncap"=[1]OUT_TransportEnergyCons!$B$4:$B$10000)*1,ISNUMBER(SEARCH("T_b_c*bev*s2",[1]OUT_TransportEnergyCons!$A$4:$A$10000))*1,[1]OUT_TransportEnergyCons!H$4:H$10000))*1000</f>
        <v>0.80661447744727599</v>
      </c>
      <c r="K2187" s="1" cm="1">
        <f t="array" ref="K2187">(SUMPRODUCT(("var_ncap"=[1]OUT_TransportEnergyCons!$B$4:$B$10000)*1,ISNUMBER(SEARCH("T_b_c*bev*s2",[1]OUT_TransportEnergyCons!$A$4:$A$10000))*1,[1]OUT_TransportEnergyCons!I$4:I$10000))*1000</f>
        <v>0.76569898624918109</v>
      </c>
    </row>
    <row r="2188" spans="2:11" x14ac:dyDescent="0.35">
      <c r="B2188" s="5" t="str">
        <f t="shared" si="1312"/>
        <v>SPS2</v>
      </c>
      <c r="C2188" s="5" t="str">
        <f t="shared" si="1313"/>
        <v>CH</v>
      </c>
      <c r="D2188" t="s">
        <v>2337</v>
      </c>
      <c r="E2188" t="s">
        <v>2000</v>
      </c>
      <c r="F2188" s="1" cm="1">
        <f t="array" ref="F2188">(SUMPRODUCT(("var_ncap"=[1]OUT_TransportEnergyCons!$B$4:$B$10000)*1,ISNUMBER(SEARCH("T_b_c*bev*s3",[1]OUT_TransportEnergyCons!$A$4:$A$10000))*1,[1]OUT_TransportEnergyCons!D$4:D$10000))*1000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(SUMPRODUCT(("var_ncap"=[1]OUT_TransportEnergyCons!$B$4:$B$10000)*1,ISNUMBER(SEARCH("T_b_c*bev*s3",[1]OUT_TransportEnergyCons!$A$4:$A$10000))*1,[1]OUT_TransportEnergyCons!E$4:E$10000))*1000</f>
        <v>9.0984072606197603E-4</v>
      </c>
      <c r="H2188" s="1" cm="1">
        <f t="array" ref="H2188">(SUMPRODUCT(("var_ncap"=[1]OUT_TransportEnergyCons!$B$4:$B$10000)*1,ISNUMBER(SEARCH("T_b_c*bev*s3",[1]OUT_TransportEnergyCons!$A$4:$A$10000))*1,[1]OUT_TransportEnergyCons!F$4:F$10000))*1000</f>
        <v>1.36419072459056E-3</v>
      </c>
      <c r="I2188" s="1" cm="1">
        <f t="array" ref="I2188">(SUMPRODUCT(("var_ncap"=[1]OUT_TransportEnergyCons!$B$4:$B$10000)*1,ISNUMBER(SEARCH("T_b_c*bev*s3",[1]OUT_TransportEnergyCons!$A$4:$A$10000))*1,[1]OUT_TransportEnergyCons!G$4:G$10000))*1000</f>
        <v>0.26486911597766799</v>
      </c>
      <c r="J2188" s="1" cm="1">
        <f t="array" ref="J2188">(SUMPRODUCT(("var_ncap"=[1]OUT_TransportEnergyCons!$B$4:$B$10000)*1,ISNUMBER(SEARCH("T_b_c*bev*s3",[1]OUT_TransportEnergyCons!$A$4:$A$10000))*1,[1]OUT_TransportEnergyCons!H$4:H$10000))*1000</f>
        <v>0.20050694015996001</v>
      </c>
      <c r="K2188" s="1" cm="1">
        <f t="array" ref="K2188">(SUMPRODUCT(("var_ncap"=[1]OUT_TransportEnergyCons!$B$4:$B$10000)*1,ISNUMBER(SEARCH("T_b_c*bev*s3",[1]OUT_TransportEnergyCons!$A$4:$A$10000))*1,[1]OUT_TransportEnergyCons!I$4:I$10000))*1000</f>
        <v>0.19178298151856502</v>
      </c>
    </row>
    <row r="2189" spans="2:11" x14ac:dyDescent="0.35">
      <c r="B2189" s="5" t="str">
        <f t="shared" si="1312"/>
        <v>SPS2</v>
      </c>
      <c r="C2189" s="5" t="str">
        <f t="shared" si="1313"/>
        <v>CH</v>
      </c>
      <c r="D2189" t="s">
        <v>2338</v>
      </c>
      <c r="E2189" t="s">
        <v>2000</v>
      </c>
      <c r="F2189" s="1" cm="1">
        <f t="array" ref="F2189">(SUMPRODUCT(("var_ncap"=[1]OUT_TransportEnergyCons!$B$4:$B$10000)*1,ISNUMBER(SEARCH("T_b_c*bev*s4",[1]OUT_TransportEnergyCons!$A$4:$A$10000))*1,[1]OUT_TransportEnergyCons!D$4:D$10000))*1000</f>
        <v>0</v>
      </c>
      <c r="G2189" s="1" cm="1">
        <f t="array" ref="G2189">(SUMPRODUCT(("var_ncap"=[1]OUT_TransportEnergyCons!$B$4:$B$10000)*1,ISNUMBER(SEARCH("T_b_c*bev*s4",[1]OUT_TransportEnergyCons!$A$4:$A$10000))*1,[1]OUT_TransportEnergyCons!E$4:E$10000))*1000</f>
        <v>5.0295591447219905E-4</v>
      </c>
      <c r="H2189" s="1" cm="1">
        <f t="array" ref="H2189">(SUMPRODUCT(("var_ncap"=[1]OUT_TransportEnergyCons!$B$4:$B$10000)*1,ISNUMBER(SEARCH("T_b_c*bev*s4",[1]OUT_TransportEnergyCons!$A$4:$A$10000))*1,[1]OUT_TransportEnergyCons!F$4:F$10000))*1000</f>
        <v>4.4780245912341801E-4</v>
      </c>
      <c r="I2189" s="1" cm="1">
        <f t="array" ref="I2189">(SUMPRODUCT(("var_ncap"=[1]OUT_TransportEnergyCons!$B$4:$B$10000)*1,ISNUMBER(SEARCH("T_b_c*bev*s4",[1]OUT_TransportEnergyCons!$A$4:$A$10000))*1,[1]OUT_TransportEnergyCons!G$4:G$10000))*1000</f>
        <v>4.0176898409260698E-4</v>
      </c>
      <c r="J2189" s="1" cm="1">
        <f t="array" ref="J2189">(SUMPRODUCT(("var_ncap"=[1]OUT_TransportEnergyCons!$B$4:$B$10000)*1,ISNUMBER(SEARCH("T_b_c*bev*s4",[1]OUT_TransportEnergyCons!$A$4:$A$10000))*1,[1]OUT_TransportEnergyCons!H$4:H$10000))*1000</f>
        <v>1.13122583971066E-3</v>
      </c>
      <c r="K2189" s="1" cm="1">
        <f t="array" ref="K2189">(SUMPRODUCT(("var_ncap"=[1]OUT_TransportEnergyCons!$B$4:$B$10000)*1,ISNUMBER(SEARCH("T_b_c*bev*s4",[1]OUT_TransportEnergyCons!$A$4:$A$10000))*1,[1]OUT_TransportEnergyCons!I$4:I$10000))*1000</f>
        <v>5.0914584574399807E-4</v>
      </c>
    </row>
    <row r="2190" spans="2:11" x14ac:dyDescent="0.35">
      <c r="B2190" s="5" t="str">
        <f t="shared" si="1312"/>
        <v>SPS2</v>
      </c>
      <c r="C2190" s="5" t="str">
        <f t="shared" si="1313"/>
        <v>CH</v>
      </c>
      <c r="D2190" t="s">
        <v>2339</v>
      </c>
      <c r="E2190" t="s">
        <v>2000</v>
      </c>
      <c r="F2190" s="1" cm="1">
        <f t="array" ref="F2190">(SUMPRODUCT(("var_ncap"=[1]OUT_TransportEnergyCons!$B$4:$B$10000)*1,ISNUMBER(SEARCH("T_b_c*h2o*s1",[1]OUT_TransportEnergyCons!$A$4:$A$10000))*1,[1]OUT_TransportEnergyCons!D$4:D$10000))*1000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(SUMPRODUCT(("var_ncap"=[1]OUT_TransportEnergyCons!$B$4:$B$10000)*1,ISNUMBER(SEARCH("T_b_c*h2o*s1",[1]OUT_TransportEnergyCons!$A$4:$A$10000))*1,[1]OUT_TransportEnergyCons!E$4:E$10000))*1000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(SUMPRODUCT(("var_ncap"=[1]OUT_TransportEnergyCons!$B$4:$B$10000)*1,ISNUMBER(SEARCH("T_b_c*h2o*s1",[1]OUT_TransportEnergyCons!$A$4:$A$10000))*1,[1]OUT_TransportEnergyCons!F$4:F$10000))*1000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(SUMPRODUCT(("var_ncap"=[1]OUT_TransportEnergyCons!$B$4:$B$10000)*1,ISNUMBER(SEARCH("T_b_c*h2o*s1",[1]OUT_TransportEnergyCons!$A$4:$A$10000))*1,[1]OUT_TransportEnergyCons!G$4:G$10000))*1000</f>
        <v>3.3447117312699201E-5</v>
      </c>
      <c r="J2190" s="1" cm="1">
        <f t="array" ref="J2190">(SUMPRODUCT(("var_ncap"=[1]OUT_TransportEnergyCons!$B$4:$B$10000)*1,ISNUMBER(SEARCH("T_b_c*h2o*s1",[1]OUT_TransportEnergyCons!$A$4:$A$10000))*1,[1]OUT_TransportEnergyCons!H$4:H$10000))*1000</f>
        <v>3.6749662679114602E-5</v>
      </c>
      <c r="K2190" s="1" cm="1">
        <f t="array" ref="K2190">(SUMPRODUCT(("var_ncap"=[1]OUT_TransportEnergyCons!$B$4:$B$10000)*1,ISNUMBER(SEARCH("T_b_c*h2o*s1",[1]OUT_TransportEnergyCons!$A$4:$A$10000))*1,[1]OUT_TransportEnergyCons!I$4:I$10000))*1000</f>
        <v>2.6681634785126398E-5</v>
      </c>
    </row>
    <row r="2191" spans="2:11" x14ac:dyDescent="0.35">
      <c r="B2191" s="5" t="str">
        <f t="shared" si="1312"/>
        <v>SPS2</v>
      </c>
      <c r="C2191" s="5" t="str">
        <f t="shared" si="1313"/>
        <v>CH</v>
      </c>
      <c r="D2191" t="s">
        <v>2340</v>
      </c>
      <c r="E2191" t="s">
        <v>2000</v>
      </c>
      <c r="F2191" s="1" cm="1">
        <f t="array" ref="F2191">(SUMPRODUCT(("var_ncap"=[1]OUT_TransportEnergyCons!$B$4:$B$10000)*1,ISNUMBER(SEARCH("T_b_c*h2o*s2",[1]OUT_TransportEnergyCons!$A$4:$A$10000))*1,[1]OUT_TransportEnergyCons!D$4:D$10000))*1000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(SUMPRODUCT(("var_ncap"=[1]OUT_TransportEnergyCons!$B$4:$B$10000)*1,ISNUMBER(SEARCH("T_b_c*h2o*s2",[1]OUT_TransportEnergyCons!$A$4:$A$10000))*1,[1]OUT_TransportEnergyCons!E$4:E$10000))*1000</f>
        <v>0</v>
      </c>
      <c r="H2191" s="1" cm="1">
        <f t="array" ref="H2191">(SUMPRODUCT(("var_ncap"=[1]OUT_TransportEnergyCons!$B$4:$B$10000)*1,ISNUMBER(SEARCH("T_b_c*h2o*s2",[1]OUT_TransportEnergyCons!$A$4:$A$10000))*1,[1]OUT_TransportEnergyCons!F$4:F$10000))*1000</f>
        <v>0</v>
      </c>
      <c r="I2191" s="1" cm="1">
        <f t="array" ref="I2191">(SUMPRODUCT(("var_ncap"=[1]OUT_TransportEnergyCons!$B$4:$B$10000)*1,ISNUMBER(SEARCH("T_b_c*h2o*s2",[1]OUT_TransportEnergyCons!$A$4:$A$10000))*1,[1]OUT_TransportEnergyCons!G$4:G$10000))*1000</f>
        <v>4.5602644854045597E-5</v>
      </c>
      <c r="J2191" s="1" cm="1">
        <f t="array" ref="J2191">(SUMPRODUCT(("var_ncap"=[1]OUT_TransportEnergyCons!$B$4:$B$10000)*1,ISNUMBER(SEARCH("T_b_c*h2o*s2",[1]OUT_TransportEnergyCons!$A$4:$A$10000))*1,[1]OUT_TransportEnergyCons!H$4:H$10000))*1000</f>
        <v>2.0954941585809403E-5</v>
      </c>
      <c r="K2191" s="1" cm="1">
        <f t="array" ref="K2191">(SUMPRODUCT(("var_ncap"=[1]OUT_TransportEnergyCons!$B$4:$B$10000)*1,ISNUMBER(SEARCH("T_b_c*h2o*s2",[1]OUT_TransportEnergyCons!$A$4:$A$10000))*1,[1]OUT_TransportEnergyCons!I$4:I$10000))*1000</f>
        <v>1.6772534580402699E-5</v>
      </c>
    </row>
    <row r="2192" spans="2:11" x14ac:dyDescent="0.35">
      <c r="B2192" s="5" t="str">
        <f t="shared" si="1312"/>
        <v>SPS2</v>
      </c>
      <c r="C2192" s="5" t="str">
        <f t="shared" si="1313"/>
        <v>CH</v>
      </c>
      <c r="D2192" t="s">
        <v>2341</v>
      </c>
      <c r="E2192" t="s">
        <v>2000</v>
      </c>
      <c r="F2192" s="1" cm="1">
        <f t="array" ref="F2192">(SUMPRODUCT(("var_ncap"=[1]OUT_TransportEnergyCons!$B$4:$B$10000)*1,ISNUMBER(SEARCH("T_b_c*h2o*s3",[1]OUT_TransportEnergyCons!$A$4:$A$10000))*1,[1]OUT_TransportEnergyCons!D$4:D$10000))*1000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(SUMPRODUCT(("var_ncap"=[1]OUT_TransportEnergyCons!$B$4:$B$10000)*1,ISNUMBER(SEARCH("T_b_c*h2o*s3",[1]OUT_TransportEnergyCons!$A$4:$A$10000))*1,[1]OUT_TransportEnergyCons!E$4:E$10000))*1000</f>
        <v>0</v>
      </c>
      <c r="H2192" s="1" cm="1">
        <f t="array" ref="H2192">(SUMPRODUCT(("var_ncap"=[1]OUT_TransportEnergyCons!$B$4:$B$10000)*1,ISNUMBER(SEARCH("T_b_c*h2o*s3",[1]OUT_TransportEnergyCons!$A$4:$A$10000))*1,[1]OUT_TransportEnergyCons!F$4:F$10000))*1000</f>
        <v>0</v>
      </c>
      <c r="I2192" s="1" cm="1">
        <f t="array" ref="I2192">(SUMPRODUCT(("var_ncap"=[1]OUT_TransportEnergyCons!$B$4:$B$10000)*1,ISNUMBER(SEARCH("T_b_c*h2o*s3",[1]OUT_TransportEnergyCons!$A$4:$A$10000))*1,[1]OUT_TransportEnergyCons!G$4:G$10000))*1000</f>
        <v>9.1504950972869391E-5</v>
      </c>
      <c r="J2192" s="1" cm="1">
        <f t="array" ref="J2192">(SUMPRODUCT(("var_ncap"=[1]OUT_TransportEnergyCons!$B$4:$B$10000)*1,ISNUMBER(SEARCH("T_b_c*h2o*s3",[1]OUT_TransportEnergyCons!$A$4:$A$10000))*1,[1]OUT_TransportEnergyCons!H$4:H$10000))*1000</f>
        <v>6.2166304621381099E-5</v>
      </c>
      <c r="K2192" s="1" cm="1">
        <f t="array" ref="K2192">(SUMPRODUCT(("var_ncap"=[1]OUT_TransportEnergyCons!$B$4:$B$10000)*1,ISNUMBER(SEARCH("T_b_c*h2o*s3",[1]OUT_TransportEnergyCons!$A$4:$A$10000))*1,[1]OUT_TransportEnergyCons!I$4:I$10000))*1000</f>
        <v>2.57438635754897E-5</v>
      </c>
    </row>
    <row r="2193" spans="2:11" x14ac:dyDescent="0.35">
      <c r="B2193" s="5" t="str">
        <f t="shared" si="1312"/>
        <v>SPS2</v>
      </c>
      <c r="C2193" s="5" t="str">
        <f t="shared" si="1313"/>
        <v>CH</v>
      </c>
      <c r="D2193" t="s">
        <v>2342</v>
      </c>
      <c r="E2193" t="s">
        <v>2000</v>
      </c>
      <c r="F2193" s="1" cm="1">
        <f t="array" ref="F2193">(SUMPRODUCT(("var_ncap"=[1]OUT_TransportEnergyCons!$B$4:$B$10000)*1,ISNUMBER(SEARCH("T_b_c*h2o*s4",[1]OUT_TransportEnergyCons!$A$4:$A$10000))*1,[1]OUT_TransportEnergyCons!D$4:D$10000))*1000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(SUMPRODUCT(("var_ncap"=[1]OUT_TransportEnergyCons!$B$4:$B$10000)*1,ISNUMBER(SEARCH("T_b_c*h2o*s4",[1]OUT_TransportEnergyCons!$A$4:$A$10000))*1,[1]OUT_TransportEnergyCons!E$4:E$10000))*1000</f>
        <v>0</v>
      </c>
      <c r="H2193" s="1" cm="1">
        <f t="array" ref="H2193">(SUMPRODUCT(("var_ncap"=[1]OUT_TransportEnergyCons!$B$4:$B$10000)*1,ISNUMBER(SEARCH("T_b_c*h2o*s4",[1]OUT_TransportEnergyCons!$A$4:$A$10000))*1,[1]OUT_TransportEnergyCons!F$4:F$10000))*1000</f>
        <v>0</v>
      </c>
      <c r="I2193" s="1" cm="1">
        <f t="array" ref="I2193">(SUMPRODUCT(("var_ncap"=[1]OUT_TransportEnergyCons!$B$4:$B$10000)*1,ISNUMBER(SEARCH("T_b_c*h2o*s4",[1]OUT_TransportEnergyCons!$A$4:$A$10000))*1,[1]OUT_TransportEnergyCons!G$4:G$10000))*1000</f>
        <v>1.8411018332365601E-5</v>
      </c>
      <c r="J2193" s="1" cm="1">
        <f t="array" ref="J2193">(SUMPRODUCT(("var_ncap"=[1]OUT_TransportEnergyCons!$B$4:$B$10000)*1,ISNUMBER(SEARCH("T_b_c*h2o*s4",[1]OUT_TransportEnergyCons!$A$4:$A$10000))*1,[1]OUT_TransportEnergyCons!H$4:H$10000))*1000</f>
        <v>0</v>
      </c>
      <c r="K2193" s="1" cm="1">
        <f t="array" ref="K2193">(SUMPRODUCT(("var_ncap"=[1]OUT_TransportEnergyCons!$B$4:$B$10000)*1,ISNUMBER(SEARCH("T_b_c*h2o*s4",[1]OUT_TransportEnergyCons!$A$4:$A$10000))*1,[1]OUT_TransportEnergyCons!I$4:I$10000))*1000</f>
        <v>0</v>
      </c>
    </row>
    <row r="2194" spans="2:11" x14ac:dyDescent="0.35">
      <c r="B2194" s="5" t="str">
        <f t="shared" si="1312"/>
        <v>SPS2</v>
      </c>
      <c r="C2194" s="5" t="str">
        <f t="shared" si="1313"/>
        <v>CH</v>
      </c>
      <c r="D2194" t="s">
        <v>2343</v>
      </c>
      <c r="E2194" t="s">
        <v>2000</v>
      </c>
      <c r="F2194" s="1" cm="1">
        <f t="array" ref="F2194">(SUMPRODUCT(("var_ncap"=[1]OUT_TransportEnergyCons!$B$4:$B$10000)*1,ISNUMBER(SEARCH("T_b_c*hyb*DSL*s1",[1]OUT_TransportEnergyCons!$A$4:$A$10000))*1,[1]OUT_TransportEnergyCons!D$4:D$10000))*1000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(SUMPRODUCT(("var_ncap"=[1]OUT_TransportEnergyCons!$B$4:$B$10000)*1,ISNUMBER(SEARCH("T_b_c*hyb*DSL*s1",[1]OUT_TransportEnergyCons!$A$4:$A$10000))*1,[1]OUT_TransportEnergyCons!E$4:E$10000))*1000</f>
        <v>1.9277466994945803E-2</v>
      </c>
      <c r="H2194" s="1" cm="1">
        <f t="array" ref="H2194">(SUMPRODUCT(("var_ncap"=[1]OUT_TransportEnergyCons!$B$4:$B$10000)*1,ISNUMBER(SEARCH("T_b_c*hyb*DSL*s1",[1]OUT_TransportEnergyCons!$A$4:$A$10000))*1,[1]OUT_TransportEnergyCons!F$4:F$10000))*1000</f>
        <v>3.9219977421308004E-3</v>
      </c>
      <c r="I2194" s="1" cm="1">
        <f t="array" ref="I2194">(SUMPRODUCT(("var_ncap"=[1]OUT_TransportEnergyCons!$B$4:$B$10000)*1,ISNUMBER(SEARCH("T_b_c*hyb*DSL*s1",[1]OUT_TransportEnergyCons!$A$4:$A$10000))*1,[1]OUT_TransportEnergyCons!G$4:G$10000))*1000</f>
        <v>2.77842347431806E-5</v>
      </c>
      <c r="J2194" s="1" cm="1">
        <f t="array" ref="J2194">(SUMPRODUCT(("var_ncap"=[1]OUT_TransportEnergyCons!$B$4:$B$10000)*1,ISNUMBER(SEARCH("T_b_c*hyb*DSL*s1",[1]OUT_TransportEnergyCons!$A$4:$A$10000))*1,[1]OUT_TransportEnergyCons!H$4:H$10000))*1000</f>
        <v>2.2750331500052099E-4</v>
      </c>
      <c r="K2194" s="1" cm="1">
        <f t="array" ref="K2194">(SUMPRODUCT(("var_ncap"=[1]OUT_TransportEnergyCons!$B$4:$B$10000)*1,ISNUMBER(SEARCH("T_b_c*hyb*DSL*s1",[1]OUT_TransportEnergyCons!$A$4:$A$10000))*1,[1]OUT_TransportEnergyCons!I$4:I$10000))*1000</f>
        <v>0</v>
      </c>
    </row>
    <row r="2195" spans="2:11" x14ac:dyDescent="0.35">
      <c r="B2195" s="5" t="str">
        <f t="shared" si="1312"/>
        <v>SPS2</v>
      </c>
      <c r="C2195" s="5" t="str">
        <f t="shared" si="1313"/>
        <v>CH</v>
      </c>
      <c r="D2195" t="s">
        <v>2344</v>
      </c>
      <c r="E2195" t="s">
        <v>2000</v>
      </c>
      <c r="F2195" s="1" cm="1">
        <f t="array" ref="F2195">(SUMPRODUCT(("var_ncap"=[1]OUT_TransportEnergyCons!$B$4:$B$10000)*1,ISNUMBER(SEARCH("T_b_c*hyb*DSL*s2",[1]OUT_TransportEnergyCons!$A$4:$A$10000))*1,[1]OUT_TransportEnergyCons!D$4:D$10000))*1000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(SUMPRODUCT(("var_ncap"=[1]OUT_TransportEnergyCons!$B$4:$B$10000)*1,ISNUMBER(SEARCH("T_b_c*hyb*DSL*s2",[1]OUT_TransportEnergyCons!$A$4:$A$10000))*1,[1]OUT_TransportEnergyCons!E$4:E$10000))*1000</f>
        <v>1.58814646600409E-3</v>
      </c>
      <c r="H2195" s="1" cm="1">
        <f t="array" ref="H2195">(SUMPRODUCT(("var_ncap"=[1]OUT_TransportEnergyCons!$B$4:$B$10000)*1,ISNUMBER(SEARCH("T_b_c*hyb*DSL*s2",[1]OUT_TransportEnergyCons!$A$4:$A$10000))*1,[1]OUT_TransportEnergyCons!F$4:F$10000))*1000</f>
        <v>1.3745189881755101E-3</v>
      </c>
      <c r="I2195" s="1" cm="1">
        <f t="array" ref="I2195">(SUMPRODUCT(("var_ncap"=[1]OUT_TransportEnergyCons!$B$4:$B$10000)*1,ISNUMBER(SEARCH("T_b_c*hyb*DSL*s2",[1]OUT_TransportEnergyCons!$A$4:$A$10000))*1,[1]OUT_TransportEnergyCons!G$4:G$10000))*1000</f>
        <v>2.8548727494935799E-5</v>
      </c>
      <c r="J2195" s="1" cm="1">
        <f t="array" ref="J2195">(SUMPRODUCT(("var_ncap"=[1]OUT_TransportEnergyCons!$B$4:$B$10000)*1,ISNUMBER(SEARCH("T_b_c*hyb*DSL*s2",[1]OUT_TransportEnergyCons!$A$4:$A$10000))*1,[1]OUT_TransportEnergyCons!H$4:H$10000))*1000</f>
        <v>2.28282937578836E-4</v>
      </c>
      <c r="K2195" s="1" cm="1">
        <f t="array" ref="K2195">(SUMPRODUCT(("var_ncap"=[1]OUT_TransportEnergyCons!$B$4:$B$10000)*1,ISNUMBER(SEARCH("T_b_c*hyb*DSL*s2",[1]OUT_TransportEnergyCons!$A$4:$A$10000))*1,[1]OUT_TransportEnergyCons!I$4:I$10000))*1000</f>
        <v>0</v>
      </c>
    </row>
    <row r="2196" spans="2:11" x14ac:dyDescent="0.35">
      <c r="B2196" s="5" t="str">
        <f t="shared" si="1312"/>
        <v>SPS2</v>
      </c>
      <c r="C2196" s="5" t="str">
        <f t="shared" si="1313"/>
        <v>CH</v>
      </c>
      <c r="D2196" t="s">
        <v>2345</v>
      </c>
      <c r="E2196" t="s">
        <v>2000</v>
      </c>
      <c r="F2196" s="1" cm="1">
        <f t="array" ref="F2196">(SUMPRODUCT(("var_ncap"=[1]OUT_TransportEnergyCons!$B$4:$B$10000)*1,ISNUMBER(SEARCH("T_b_c*hyb*DSL*s3",[1]OUT_TransportEnergyCons!$A$4:$A$10000))*1,[1]OUT_TransportEnergyCons!D$4:D$10000))*1000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(SUMPRODUCT(("var_ncap"=[1]OUT_TransportEnergyCons!$B$4:$B$10000)*1,ISNUMBER(SEARCH("T_b_c*hyb*DSL*s3",[1]OUT_TransportEnergyCons!$A$4:$A$10000))*1,[1]OUT_TransportEnergyCons!E$4:E$10000))*1000</f>
        <v>6.8403524567420401E-4</v>
      </c>
      <c r="H2196" s="1" cm="1">
        <f t="array" ref="H2196">(SUMPRODUCT(("var_ncap"=[1]OUT_TransportEnergyCons!$B$4:$B$10000)*1,ISNUMBER(SEARCH("T_b_c*hyb*DSL*s3",[1]OUT_TransportEnergyCons!$A$4:$A$10000))*1,[1]OUT_TransportEnergyCons!F$4:F$10000))*1000</f>
        <v>5.3562631538124801E-4</v>
      </c>
      <c r="I2196" s="1" cm="1">
        <f t="array" ref="I2196">(SUMPRODUCT(("var_ncap"=[1]OUT_TransportEnergyCons!$B$4:$B$10000)*1,ISNUMBER(SEARCH("T_b_c*hyb*DSL*s3",[1]OUT_TransportEnergyCons!$A$4:$A$10000))*1,[1]OUT_TransportEnergyCons!G$4:G$10000))*1000</f>
        <v>6.5789573306843503E-5</v>
      </c>
      <c r="J2196" s="1" cm="1">
        <f t="array" ref="J2196">(SUMPRODUCT(("var_ncap"=[1]OUT_TransportEnergyCons!$B$4:$B$10000)*1,ISNUMBER(SEARCH("T_b_c*hyb*DSL*s3",[1]OUT_TransportEnergyCons!$A$4:$A$10000))*1,[1]OUT_TransportEnergyCons!H$4:H$10000))*1000</f>
        <v>1.8556021726596098E-5</v>
      </c>
      <c r="K2196" s="1" cm="1">
        <f t="array" ref="K2196">(SUMPRODUCT(("var_ncap"=[1]OUT_TransportEnergyCons!$B$4:$B$10000)*1,ISNUMBER(SEARCH("T_b_c*hyb*DSL*s3",[1]OUT_TransportEnergyCons!$A$4:$A$10000))*1,[1]OUT_TransportEnergyCons!I$4:I$10000))*1000</f>
        <v>0</v>
      </c>
    </row>
    <row r="2197" spans="2:11" x14ac:dyDescent="0.35">
      <c r="B2197" s="5" t="str">
        <f t="shared" si="1312"/>
        <v>SPS2</v>
      </c>
      <c r="C2197" s="5" t="str">
        <f t="shared" si="1313"/>
        <v>CH</v>
      </c>
      <c r="D2197" t="s">
        <v>2346</v>
      </c>
      <c r="E2197" t="s">
        <v>2000</v>
      </c>
      <c r="F2197" s="1" cm="1">
        <f t="array" ref="F2197">(SUMPRODUCT(("var_ncap"=[1]OUT_TransportEnergyCons!$B$4:$B$10000)*1,ISNUMBER(SEARCH("T_b_c*hyb*DSL*s4",[1]OUT_TransportEnergyCons!$A$4:$A$10000))*1,[1]OUT_TransportEnergyCons!D$4:D$10000))*1000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(SUMPRODUCT(("var_ncap"=[1]OUT_TransportEnergyCons!$B$4:$B$10000)*1,ISNUMBER(SEARCH("T_b_c*hyb*DSL*s4",[1]OUT_TransportEnergyCons!$A$4:$A$10000))*1,[1]OUT_TransportEnergyCons!E$4:E$10000))*1000</f>
        <v>1.4157759621610599E-4</v>
      </c>
      <c r="H2197" s="1" cm="1">
        <f t="array" ref="H2197">(SUMPRODUCT(("var_ncap"=[1]OUT_TransportEnergyCons!$B$4:$B$10000)*1,ISNUMBER(SEARCH("T_b_c*hyb*DSL*s4",[1]OUT_TransportEnergyCons!$A$4:$A$10000))*1,[1]OUT_TransportEnergyCons!F$4:F$10000))*1000</f>
        <v>1.1787179357545001E-4</v>
      </c>
      <c r="I2197" s="1" cm="1">
        <f t="array" ref="I2197">(SUMPRODUCT(("var_ncap"=[1]OUT_TransportEnergyCons!$B$4:$B$10000)*1,ISNUMBER(SEARCH("T_b_c*hyb*DSL*s4",[1]OUT_TransportEnergyCons!$A$4:$A$10000))*1,[1]OUT_TransportEnergyCons!G$4:G$10000))*1000</f>
        <v>1.9692826226055201E-5</v>
      </c>
      <c r="J2197" s="1" cm="1">
        <f t="array" ref="J2197">(SUMPRODUCT(("var_ncap"=[1]OUT_TransportEnergyCons!$B$4:$B$10000)*1,ISNUMBER(SEARCH("T_b_c*hyb*DSL*s4",[1]OUT_TransportEnergyCons!$A$4:$A$10000))*1,[1]OUT_TransportEnergyCons!H$4:H$10000))*1000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(SUMPRODUCT(("var_ncap"=[1]OUT_TransportEnergyCons!$B$4:$B$10000)*1,ISNUMBER(SEARCH("T_b_c*hyb*DSL*s4",[1]OUT_TransportEnergyCons!$A$4:$A$10000))*1,[1]OUT_TransportEnergyCons!I$4:I$10000))*1000</f>
        <v>0</v>
      </c>
    </row>
    <row r="2198" spans="2:11" x14ac:dyDescent="0.35">
      <c r="B2198" s="5" t="str">
        <f t="shared" si="1312"/>
        <v>SPS2</v>
      </c>
      <c r="C2198" s="5" t="str">
        <f t="shared" si="1313"/>
        <v>CH</v>
      </c>
      <c r="D2198" t="s">
        <v>2347</v>
      </c>
      <c r="E2198" t="s">
        <v>2000</v>
      </c>
      <c r="F2198" s="1" cm="1">
        <f t="array" ref="F2198">(SUMPRODUCT(("var_ncap"=[1]OUT_TransportEnergyCons!$B$4:$B$10000)*1,ISNUMBER(SEARCH("T_b_c*ICE*DSL*ext",[1]OUT_TransportEnergyCons!$A$4:$A$10000))*1,[1]OUT_TransportEnergyCons!D$4:D$10000))*1000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(SUMPRODUCT(("var_ncap"=[1]OUT_TransportEnergyCons!$B$4:$B$10000)*1,ISNUMBER(SEARCH("T_b_c*ICE*DSL*ext",[1]OUT_TransportEnergyCons!$A$4:$A$10000))*1,[1]OUT_TransportEnergyCons!E$4:E$10000))*1000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(SUMPRODUCT(("var_ncap"=[1]OUT_TransportEnergyCons!$B$4:$B$10000)*1,ISNUMBER(SEARCH("T_b_c*ICE*DSL*ext",[1]OUT_TransportEnergyCons!$A$4:$A$10000))*1,[1]OUT_TransportEnergyCons!F$4:F$10000))*1000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(SUMPRODUCT(("var_ncap"=[1]OUT_TransportEnergyCons!$B$4:$B$10000)*1,ISNUMBER(SEARCH("T_b_c*ICE*DSL*ext",[1]OUT_TransportEnergyCons!$A$4:$A$10000))*1,[1]OUT_TransportEnergyCons!G$4:G$10000))*1000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(SUMPRODUCT(("var_ncap"=[1]OUT_TransportEnergyCons!$B$4:$B$10000)*1,ISNUMBER(SEARCH("T_b_c*ICE*DSL*ext",[1]OUT_TransportEnergyCons!$A$4:$A$10000))*1,[1]OUT_TransportEnergyCons!H$4:H$10000))*1000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(SUMPRODUCT(("var_ncap"=[1]OUT_TransportEnergyCons!$B$4:$B$10000)*1,ISNUMBER(SEARCH("T_b_c*ICE*DSL*ext",[1]OUT_TransportEnergyCons!$A$4:$A$10000))*1,[1]OUT_TransportEnergyCons!I$4:I$10000))*1000</f>
        <v>0</v>
      </c>
    </row>
    <row r="2199" spans="2:11" x14ac:dyDescent="0.35">
      <c r="B2199" s="5" t="str">
        <f t="shared" si="1312"/>
        <v>SPS2</v>
      </c>
      <c r="C2199" s="5" t="str">
        <f t="shared" si="1313"/>
        <v>CH</v>
      </c>
      <c r="D2199" t="s">
        <v>2348</v>
      </c>
      <c r="E2199" t="s">
        <v>2000</v>
      </c>
      <c r="F2199" s="1" cm="1">
        <f t="array" ref="F2199">(SUMPRODUCT(("var_ncap"=[1]OUT_TransportEnergyCons!$B$4:$B$10000)*1,ISNUMBER(SEARCH("T_b_c*ICE*DSL*s1",[1]OUT_TransportEnergyCons!$A$4:$A$10000))*1,[1]OUT_TransportEnergyCons!D$4:D$10000))*1000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(SUMPRODUCT(("var_ncap"=[1]OUT_TransportEnergyCons!$B$4:$B$10000)*1,ISNUMBER(SEARCH("T_b_c*ICE*DSL*s1",[1]OUT_TransportEnergyCons!$A$4:$A$10000))*1,[1]OUT_TransportEnergyCons!E$4:E$10000))*1000</f>
        <v>0.46420058164314798</v>
      </c>
      <c r="H2199" s="1" cm="1">
        <f t="array" ref="H2199">(SUMPRODUCT(("var_ncap"=[1]OUT_TransportEnergyCons!$B$4:$B$10000)*1,ISNUMBER(SEARCH("T_b_c*ICE*DSL*s1",[1]OUT_TransportEnergyCons!$A$4:$A$10000))*1,[1]OUT_TransportEnergyCons!F$4:F$10000))*1000</f>
        <v>0.17943340653354201</v>
      </c>
      <c r="I2199" s="1" cm="1">
        <f t="array" ref="I2199">(SUMPRODUCT(("var_ncap"=[1]OUT_TransportEnergyCons!$B$4:$B$10000)*1,ISNUMBER(SEARCH("T_b_c*ICE*DSL*s1",[1]OUT_TransportEnergyCons!$A$4:$A$10000))*1,[1]OUT_TransportEnergyCons!G$4:G$10000))*1000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(SUMPRODUCT(("var_ncap"=[1]OUT_TransportEnergyCons!$B$4:$B$10000)*1,ISNUMBER(SEARCH("T_b_c*ICE*DSL*s1",[1]OUT_TransportEnergyCons!$A$4:$A$10000))*1,[1]OUT_TransportEnergyCons!H$4:H$10000))*1000</f>
        <v>1.7413675040588801E-4</v>
      </c>
      <c r="K2199" s="1" cm="1">
        <f t="array" ref="K2199">(SUMPRODUCT(("var_ncap"=[1]OUT_TransportEnergyCons!$B$4:$B$10000)*1,ISNUMBER(SEARCH("T_b_c*ICE*DSL*s1",[1]OUT_TransportEnergyCons!$A$4:$A$10000))*1,[1]OUT_TransportEnergyCons!I$4:I$10000))*1000</f>
        <v>0</v>
      </c>
    </row>
    <row r="2200" spans="2:11" x14ac:dyDescent="0.35">
      <c r="B2200" s="5" t="str">
        <f t="shared" si="1312"/>
        <v>SPS2</v>
      </c>
      <c r="C2200" s="5" t="str">
        <f t="shared" si="1313"/>
        <v>CH</v>
      </c>
      <c r="D2200" t="s">
        <v>2349</v>
      </c>
      <c r="E2200" t="s">
        <v>2000</v>
      </c>
      <c r="F2200" s="1" cm="1">
        <f t="array" ref="F2200">(SUMPRODUCT(("var_ncap"=[1]OUT_TransportEnergyCons!$B$4:$B$10000)*1,ISNUMBER(SEARCH("T_b_c*ICE*DSL*s2",[1]OUT_TransportEnergyCons!$A$4:$A$10000))*1,[1]OUT_TransportEnergyCons!D$4:D$10000))*1000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(SUMPRODUCT(("var_ncap"=[1]OUT_TransportEnergyCons!$B$4:$B$10000)*1,ISNUMBER(SEARCH("T_b_c*ICE*DSL*s2",[1]OUT_TransportEnergyCons!$A$4:$A$10000))*1,[1]OUT_TransportEnergyCons!E$4:E$10000))*1000</f>
        <v>2.26190691277015E-3</v>
      </c>
      <c r="H2200" s="1" cm="1">
        <f t="array" ref="H2200">(SUMPRODUCT(("var_ncap"=[1]OUT_TransportEnergyCons!$B$4:$B$10000)*1,ISNUMBER(SEARCH("T_b_c*ICE*DSL*s2",[1]OUT_TransportEnergyCons!$A$4:$A$10000))*1,[1]OUT_TransportEnergyCons!F$4:F$10000))*1000</f>
        <v>3.9451765628669595E-3</v>
      </c>
      <c r="I2200" s="1" cm="1">
        <f t="array" ref="I2200">(SUMPRODUCT(("var_ncap"=[1]OUT_TransportEnergyCons!$B$4:$B$10000)*1,ISNUMBER(SEARCH("T_b_c*ICE*DSL*s2",[1]OUT_TransportEnergyCons!$A$4:$A$10000))*1,[1]OUT_TransportEnergyCons!G$4:G$10000))*1000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(SUMPRODUCT(("var_ncap"=[1]OUT_TransportEnergyCons!$B$4:$B$10000)*1,ISNUMBER(SEARCH("T_b_c*ICE*DSL*s2",[1]OUT_TransportEnergyCons!$A$4:$A$10000))*1,[1]OUT_TransportEnergyCons!H$4:H$10000))*1000</f>
        <v>1.7215922513844699E-4</v>
      </c>
      <c r="K2200" s="1" cm="1">
        <f t="array" ref="K2200">(SUMPRODUCT(("var_ncap"=[1]OUT_TransportEnergyCons!$B$4:$B$10000)*1,ISNUMBER(SEARCH("T_b_c*ICE*DSL*s2",[1]OUT_TransportEnergyCons!$A$4:$A$10000))*1,[1]OUT_TransportEnergyCons!I$4:I$10000))*1000</f>
        <v>0</v>
      </c>
    </row>
    <row r="2201" spans="2:11" x14ac:dyDescent="0.35">
      <c r="B2201" s="5" t="str">
        <f t="shared" si="1312"/>
        <v>SPS2</v>
      </c>
      <c r="C2201" s="5" t="str">
        <f t="shared" si="1313"/>
        <v>CH</v>
      </c>
      <c r="D2201" t="s">
        <v>2350</v>
      </c>
      <c r="E2201" t="s">
        <v>2000</v>
      </c>
      <c r="F2201" s="1" cm="1">
        <f t="array" ref="F2201">(SUMPRODUCT(("var_ncap"=[1]OUT_TransportEnergyCons!$B$4:$B$10000)*1,ISNUMBER(SEARCH("T_b_c*ICE*DSL*s3",[1]OUT_TransportEnergyCons!$A$4:$A$10000))*1,[1]OUT_TransportEnergyCons!D$4:D$10000))*1000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(SUMPRODUCT(("var_ncap"=[1]OUT_TransportEnergyCons!$B$4:$B$10000)*1,ISNUMBER(SEARCH("T_b_c*ICE*DSL*s3",[1]OUT_TransportEnergyCons!$A$4:$A$10000))*1,[1]OUT_TransportEnergyCons!E$4:E$10000))*1000</f>
        <v>9.10764201280212E-4</v>
      </c>
      <c r="H2201" s="1" cm="1">
        <f t="array" ref="H2201">(SUMPRODUCT(("var_ncap"=[1]OUT_TransportEnergyCons!$B$4:$B$10000)*1,ISNUMBER(SEARCH("T_b_c*ICE*DSL*s3",[1]OUT_TransportEnergyCons!$A$4:$A$10000))*1,[1]OUT_TransportEnergyCons!F$4:F$10000))*1000</f>
        <v>9.9483387234797498E-4</v>
      </c>
      <c r="I2201" s="1" cm="1">
        <f t="array" ref="I2201">(SUMPRODUCT(("var_ncap"=[1]OUT_TransportEnergyCons!$B$4:$B$10000)*1,ISNUMBER(SEARCH("T_b_c*ICE*DSL*s3",[1]OUT_TransportEnergyCons!$A$4:$A$10000))*1,[1]OUT_TransportEnergyCons!G$4:G$10000))*1000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(SUMPRODUCT(("var_ncap"=[1]OUT_TransportEnergyCons!$B$4:$B$10000)*1,ISNUMBER(SEARCH("T_b_c*ICE*DSL*s3",[1]OUT_TransportEnergyCons!$A$4:$A$10000))*1,[1]OUT_TransportEnergyCons!H$4:H$10000))*1000</f>
        <v>1.7298491739825501E-5</v>
      </c>
      <c r="K2201" s="1" cm="1">
        <f t="array" ref="K2201">(SUMPRODUCT(("var_ncap"=[1]OUT_TransportEnergyCons!$B$4:$B$10000)*1,ISNUMBER(SEARCH("T_b_c*ICE*DSL*s3",[1]OUT_TransportEnergyCons!$A$4:$A$10000))*1,[1]OUT_TransportEnergyCons!I$4:I$10000))*1000</f>
        <v>0</v>
      </c>
    </row>
    <row r="2202" spans="2:11" x14ac:dyDescent="0.35">
      <c r="B2202" s="5" t="str">
        <f t="shared" si="1312"/>
        <v>SPS2</v>
      </c>
      <c r="C2202" s="5" t="str">
        <f t="shared" si="1313"/>
        <v>CH</v>
      </c>
      <c r="D2202" t="s">
        <v>2351</v>
      </c>
      <c r="E2202" t="s">
        <v>2000</v>
      </c>
      <c r="F2202" s="1" cm="1">
        <f t="array" ref="F2202">(SUMPRODUCT(("var_ncap"=[1]OUT_TransportEnergyCons!$B$4:$B$10000)*1,ISNUMBER(SEARCH("T_b_c*ICE*DSL*s4",[1]OUT_TransportEnergyCons!$A$4:$A$10000))*1,[1]OUT_TransportEnergyCons!D$4:D$10000))*1000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(SUMPRODUCT(("var_ncap"=[1]OUT_TransportEnergyCons!$B$4:$B$10000)*1,ISNUMBER(SEARCH("T_b_c*ICE*DSL*s4",[1]OUT_TransportEnergyCons!$A$4:$A$10000))*1,[1]OUT_TransportEnergyCons!E$4:E$10000))*1000</f>
        <v>1.5608887474303999E-4</v>
      </c>
      <c r="H2202" s="1" cm="1">
        <f t="array" ref="H2202">(SUMPRODUCT(("var_ncap"=[1]OUT_TransportEnergyCons!$B$4:$B$10000)*1,ISNUMBER(SEARCH("T_b_c*ICE*DSL*s4",[1]OUT_TransportEnergyCons!$A$4:$A$10000))*1,[1]OUT_TransportEnergyCons!F$4:F$10000))*1000</f>
        <v>1.4984512299812502E-4</v>
      </c>
      <c r="I2202" s="1" cm="1">
        <f t="array" ref="I2202">(SUMPRODUCT(("var_ncap"=[1]OUT_TransportEnergyCons!$B$4:$B$10000)*1,ISNUMBER(SEARCH("T_b_c*ICE*DSL*s4",[1]OUT_TransportEnergyCons!$A$4:$A$10000))*1,[1]OUT_TransportEnergyCons!G$4:G$10000))*1000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(SUMPRODUCT(("var_ncap"=[1]OUT_TransportEnergyCons!$B$4:$B$10000)*1,ISNUMBER(SEARCH("T_b_c*ICE*DSL*s4",[1]OUT_TransportEnergyCons!$A$4:$A$10000))*1,[1]OUT_TransportEnergyCons!H$4:H$10000))*1000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(SUMPRODUCT(("var_ncap"=[1]OUT_TransportEnergyCons!$B$4:$B$10000)*1,ISNUMBER(SEARCH("T_b_c*ICE*DSL*s4",[1]OUT_TransportEnergyCons!$A$4:$A$10000))*1,[1]OUT_TransportEnergyCons!I$4:I$10000))*1000</f>
        <v>0</v>
      </c>
    </row>
    <row r="2203" spans="2:11" x14ac:dyDescent="0.35">
      <c r="B2203" s="5" t="str">
        <f t="shared" si="1312"/>
        <v>SPS2</v>
      </c>
      <c r="C2203" s="5" t="str">
        <f t="shared" si="1313"/>
        <v>CH</v>
      </c>
      <c r="D2203" t="s">
        <v>2352</v>
      </c>
      <c r="E2203" t="s">
        <v>2000</v>
      </c>
      <c r="F2203" s="1" cm="1">
        <f t="array" ref="F2203">(SUMPRODUCT(("var_ncap"=[1]OUT_TransportEnergyCons!$B$4:$B$10000)*1,ISNUMBER(SEARCH("T_b_c*ICE*nga*ext",[1]OUT_TransportEnergyCons!$A$4:$A$10000))*1,[1]OUT_TransportEnergyCons!D$4:D$10000))*1000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(SUMPRODUCT(("var_ncap"=[1]OUT_TransportEnergyCons!$B$4:$B$10000)*1,ISNUMBER(SEARCH("T_b_c*ICE*nga*ext",[1]OUT_TransportEnergyCons!$A$4:$A$10000))*1,[1]OUT_TransportEnergyCons!E$4:E$10000))*1000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(SUMPRODUCT(("var_ncap"=[1]OUT_TransportEnergyCons!$B$4:$B$10000)*1,ISNUMBER(SEARCH("T_b_c*ICE*nga*ext",[1]OUT_TransportEnergyCons!$A$4:$A$10000))*1,[1]OUT_TransportEnergyCons!F$4:F$10000))*1000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(SUMPRODUCT(("var_ncap"=[1]OUT_TransportEnergyCons!$B$4:$B$10000)*1,ISNUMBER(SEARCH("T_b_c*ICE*nga*ext",[1]OUT_TransportEnergyCons!$A$4:$A$10000))*1,[1]OUT_TransportEnergyCons!G$4:G$10000))*1000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(SUMPRODUCT(("var_ncap"=[1]OUT_TransportEnergyCons!$B$4:$B$10000)*1,ISNUMBER(SEARCH("T_b_c*ICE*nga*ext",[1]OUT_TransportEnergyCons!$A$4:$A$10000))*1,[1]OUT_TransportEnergyCons!H$4:H$10000))*1000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(SUMPRODUCT(("var_ncap"=[1]OUT_TransportEnergyCons!$B$4:$B$10000)*1,ISNUMBER(SEARCH("T_b_c*ICE*nga*ext",[1]OUT_TransportEnergyCons!$A$4:$A$10000))*1,[1]OUT_TransportEnergyCons!I$4:I$10000))*1000</f>
        <v>0</v>
      </c>
    </row>
    <row r="2204" spans="2:11" x14ac:dyDescent="0.35">
      <c r="B2204" s="5" t="str">
        <f t="shared" si="1312"/>
        <v>SPS2</v>
      </c>
      <c r="C2204" s="5" t="str">
        <f t="shared" si="1313"/>
        <v>CH</v>
      </c>
      <c r="D2204" t="s">
        <v>2353</v>
      </c>
      <c r="E2204" t="s">
        <v>2000</v>
      </c>
      <c r="F2204" s="1" cm="1">
        <f t="array" ref="F2204">(SUMPRODUCT(("var_ncap"=[1]OUT_TransportEnergyCons!$B$4:$B$10000)*1,ISNUMBER(SEARCH("T_b_c*ICE*nga*s1",[1]OUT_TransportEnergyCons!$A$4:$A$10000))*1,[1]OUT_TransportEnergyCons!D$4:D$10000))*1000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(SUMPRODUCT(("var_ncap"=[1]OUT_TransportEnergyCons!$B$4:$B$10000)*1,ISNUMBER(SEARCH("T_b_c*ICE*nga*s1",[1]OUT_TransportEnergyCons!$A$4:$A$10000))*1,[1]OUT_TransportEnergyCons!E$4:E$10000))*1000</f>
        <v>8.22345752867004E-3</v>
      </c>
      <c r="H2204" s="1" cm="1">
        <f t="array" ref="H2204">(SUMPRODUCT(("var_ncap"=[1]OUT_TransportEnergyCons!$B$4:$B$10000)*1,ISNUMBER(SEARCH("T_b_c*ICE*nga*s1",[1]OUT_TransportEnergyCons!$A$4:$A$10000))*1,[1]OUT_TransportEnergyCons!F$4:F$10000))*1000</f>
        <v>3.01469718001948E-3</v>
      </c>
      <c r="I2204" s="1" cm="1">
        <f t="array" ref="I2204">(SUMPRODUCT(("var_ncap"=[1]OUT_TransportEnergyCons!$B$4:$B$10000)*1,ISNUMBER(SEARCH("T_b_c*ICE*nga*s1",[1]OUT_TransportEnergyCons!$A$4:$A$10000))*1,[1]OUT_TransportEnergyCons!G$4:G$10000))*1000</f>
        <v>1.71035681680518E-5</v>
      </c>
      <c r="J2204" s="1" cm="1">
        <f t="array" ref="J2204">(SUMPRODUCT(("var_ncap"=[1]OUT_TransportEnergyCons!$B$4:$B$10000)*1,ISNUMBER(SEARCH("T_b_c*ICE*nga*s1",[1]OUT_TransportEnergyCons!$A$4:$A$10000))*1,[1]OUT_TransportEnergyCons!H$4:H$10000))*1000</f>
        <v>7.9667032664450702E-5</v>
      </c>
      <c r="K2204" s="1" cm="1">
        <f t="array" ref="K2204">(SUMPRODUCT(("var_ncap"=[1]OUT_TransportEnergyCons!$B$4:$B$10000)*1,ISNUMBER(SEARCH("T_b_c*ICE*nga*s1",[1]OUT_TransportEnergyCons!$A$4:$A$10000))*1,[1]OUT_TransportEnergyCons!I$4:I$10000))*1000</f>
        <v>0</v>
      </c>
    </row>
    <row r="2205" spans="2:11" x14ac:dyDescent="0.35">
      <c r="B2205" s="5" t="str">
        <f t="shared" si="1312"/>
        <v>SPS2</v>
      </c>
      <c r="C2205" s="5" t="str">
        <f t="shared" si="1313"/>
        <v>CH</v>
      </c>
      <c r="D2205" t="s">
        <v>2354</v>
      </c>
      <c r="E2205" t="s">
        <v>2000</v>
      </c>
      <c r="F2205" s="1" cm="1">
        <f t="array" ref="F2205">(SUMPRODUCT(("var_ncap"=[1]OUT_TransportEnergyCons!$B$4:$B$10000)*1,ISNUMBER(SEARCH("T_b_c*ICE*nga*s2",[1]OUT_TransportEnergyCons!$A$4:$A$10000))*1,[1]OUT_TransportEnergyCons!D$4:D$10000))*1000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(SUMPRODUCT(("var_ncap"=[1]OUT_TransportEnergyCons!$B$4:$B$10000)*1,ISNUMBER(SEARCH("T_b_c*ICE*nga*s2",[1]OUT_TransportEnergyCons!$A$4:$A$10000))*1,[1]OUT_TransportEnergyCons!E$4:E$10000))*1000</f>
        <v>1.2728524528116199E-3</v>
      </c>
      <c r="H2205" s="1" cm="1">
        <f t="array" ref="H2205">(SUMPRODUCT(("var_ncap"=[1]OUT_TransportEnergyCons!$B$4:$B$10000)*1,ISNUMBER(SEARCH("T_b_c*ICE*nga*s2",[1]OUT_TransportEnergyCons!$A$4:$A$10000))*1,[1]OUT_TransportEnergyCons!F$4:F$10000))*1000</f>
        <v>1.8784794783106499E-3</v>
      </c>
      <c r="I2205" s="1" cm="1">
        <f t="array" ref="I2205">(SUMPRODUCT(("var_ncap"=[1]OUT_TransportEnergyCons!$B$4:$B$10000)*1,ISNUMBER(SEARCH("T_b_c*ICE*nga*s2",[1]OUT_TransportEnergyCons!$A$4:$A$10000))*1,[1]OUT_TransportEnergyCons!G$4:G$10000))*1000</f>
        <v>1.2335249464450099E-5</v>
      </c>
      <c r="J2205" s="1" cm="1">
        <f t="array" ref="J2205">(SUMPRODUCT(("var_ncap"=[1]OUT_TransportEnergyCons!$B$4:$B$10000)*1,ISNUMBER(SEARCH("T_b_c*ICE*nga*s2",[1]OUT_TransportEnergyCons!$A$4:$A$10000))*1,[1]OUT_TransportEnergyCons!H$4:H$10000))*1000</f>
        <v>7.3459392520068006E-5</v>
      </c>
      <c r="K2205" s="1" cm="1">
        <f t="array" ref="K2205">(SUMPRODUCT(("var_ncap"=[1]OUT_TransportEnergyCons!$B$4:$B$10000)*1,ISNUMBER(SEARCH("T_b_c*ICE*nga*s2",[1]OUT_TransportEnergyCons!$A$4:$A$10000))*1,[1]OUT_TransportEnergyCons!I$4:I$10000))*1000</f>
        <v>0</v>
      </c>
    </row>
    <row r="2206" spans="2:11" x14ac:dyDescent="0.35">
      <c r="B2206" s="5" t="str">
        <f t="shared" si="1312"/>
        <v>SPS2</v>
      </c>
      <c r="C2206" s="5" t="str">
        <f t="shared" si="1313"/>
        <v>CH</v>
      </c>
      <c r="D2206" t="s">
        <v>2355</v>
      </c>
      <c r="E2206" t="s">
        <v>2000</v>
      </c>
      <c r="F2206" s="1" cm="1">
        <f t="array" ref="F2206">(SUMPRODUCT(("var_ncap"=[1]OUT_TransportEnergyCons!$B$4:$B$10000)*1,ISNUMBER(SEARCH("T_b_c*ICE*nga*s3",[1]OUT_TransportEnergyCons!$A$4:$A$10000))*1,[1]OUT_TransportEnergyCons!D$4:D$10000))*1000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(SUMPRODUCT(("var_ncap"=[1]OUT_TransportEnergyCons!$B$4:$B$10000)*1,ISNUMBER(SEARCH("T_b_c*ICE*nga*s3",[1]OUT_TransportEnergyCons!$A$4:$A$10000))*1,[1]OUT_TransportEnergyCons!E$4:E$10000))*1000</f>
        <v>6.0864839395708803E-4</v>
      </c>
      <c r="H2206" s="1" cm="1">
        <f t="array" ref="H2206">(SUMPRODUCT(("var_ncap"=[1]OUT_TransportEnergyCons!$B$4:$B$10000)*1,ISNUMBER(SEARCH("T_b_c*ICE*nga*s3",[1]OUT_TransportEnergyCons!$A$4:$A$10000))*1,[1]OUT_TransportEnergyCons!F$4:F$10000))*1000</f>
        <v>8.1171957561776008E-4</v>
      </c>
      <c r="I2206" s="1" cm="1">
        <f t="array" ref="I2206">(SUMPRODUCT(("var_ncap"=[1]OUT_TransportEnergyCons!$B$4:$B$10000)*1,ISNUMBER(SEARCH("T_b_c*ICE*nga*s3",[1]OUT_TransportEnergyCons!$A$4:$A$10000))*1,[1]OUT_TransportEnergyCons!G$4:G$10000))*1000</f>
        <v>1.59548449248235E-5</v>
      </c>
      <c r="J2206" s="1" cm="1">
        <f t="array" ref="J2206">(SUMPRODUCT(("var_ncap"=[1]OUT_TransportEnergyCons!$B$4:$B$10000)*1,ISNUMBER(SEARCH("T_b_c*ICE*nga*s3",[1]OUT_TransportEnergyCons!$A$4:$A$10000))*1,[1]OUT_TransportEnergyCons!H$4:H$10000))*1000</f>
        <v>2.6521626082784699E-5</v>
      </c>
      <c r="K2206" s="1" cm="1">
        <f t="array" ref="K2206">(SUMPRODUCT(("var_ncap"=[1]OUT_TransportEnergyCons!$B$4:$B$10000)*1,ISNUMBER(SEARCH("T_b_c*ICE*nga*s3",[1]OUT_TransportEnergyCons!$A$4:$A$10000))*1,[1]OUT_TransportEnergyCons!I$4:I$10000))*1000</f>
        <v>0</v>
      </c>
    </row>
    <row r="2207" spans="2:11" x14ac:dyDescent="0.35">
      <c r="B2207" s="5" t="str">
        <f t="shared" si="1312"/>
        <v>SPS2</v>
      </c>
      <c r="C2207" s="5" t="str">
        <f t="shared" si="1313"/>
        <v>CH</v>
      </c>
      <c r="D2207" t="s">
        <v>2356</v>
      </c>
      <c r="E2207" t="s">
        <v>2000</v>
      </c>
      <c r="F2207" s="1" cm="1">
        <f t="array" ref="F2207">(SUMPRODUCT(("var_ncap"=[1]OUT_TransportEnergyCons!$B$4:$B$10000)*1,ISNUMBER(SEARCH("T_b_c*ICE*nga*s4",[1]OUT_TransportEnergyCons!$A$4:$A$10000))*1,[1]OUT_TransportEnergyCons!D$4:D$10000))*1000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(SUMPRODUCT(("var_ncap"=[1]OUT_TransportEnergyCons!$B$4:$B$10000)*1,ISNUMBER(SEARCH("T_b_c*ICE*nga*s4",[1]OUT_TransportEnergyCons!$A$4:$A$10000))*1,[1]OUT_TransportEnergyCons!E$4:E$10000))*1000</f>
        <v>8.9162269327235994E-5</v>
      </c>
      <c r="H2207" s="1" cm="1">
        <f t="array" ref="H2207">(SUMPRODUCT(("var_ncap"=[1]OUT_TransportEnergyCons!$B$4:$B$10000)*1,ISNUMBER(SEARCH("T_b_c*ICE*nga*s4",[1]OUT_TransportEnergyCons!$A$4:$A$10000))*1,[1]OUT_TransportEnergyCons!F$4:F$10000))*1000</f>
        <v>1.2654022243485899E-4</v>
      </c>
      <c r="I2207" s="1" cm="1">
        <f t="array" ref="I2207">(SUMPRODUCT(("var_ncap"=[1]OUT_TransportEnergyCons!$B$4:$B$10000)*1,ISNUMBER(SEARCH("T_b_c*ICE*nga*s4",[1]OUT_TransportEnergyCons!$A$4:$A$10000))*1,[1]OUT_TransportEnergyCons!G$4:G$10000))*1000</f>
        <v>1.08620297194122E-5</v>
      </c>
      <c r="J2207" s="1" cm="1">
        <f t="array" ref="J2207">(SUMPRODUCT(("var_ncap"=[1]OUT_TransportEnergyCons!$B$4:$B$10000)*1,ISNUMBER(SEARCH("T_b_c*ICE*nga*s4",[1]OUT_TransportEnergyCons!$A$4:$A$10000))*1,[1]OUT_TransportEnergyCons!H$4:H$10000))*1000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(SUMPRODUCT(("var_ncap"=[1]OUT_TransportEnergyCons!$B$4:$B$10000)*1,ISNUMBER(SEARCH("T_b_c*ICE*nga*s4",[1]OUT_TransportEnergyCons!$A$4:$A$10000))*1,[1]OUT_TransportEnergyCons!I$4:I$10000))*1000</f>
        <v>0</v>
      </c>
    </row>
    <row r="2208" spans="2:11" x14ac:dyDescent="0.35">
      <c r="B2208" s="5" t="str">
        <f t="shared" si="1312"/>
        <v>SPS2</v>
      </c>
      <c r="C2208" s="5" t="str">
        <f t="shared" si="1313"/>
        <v>CH</v>
      </c>
      <c r="D2208" s="2" t="s">
        <v>2188</v>
      </c>
      <c r="E2208" s="2" t="s">
        <v>2000</v>
      </c>
      <c r="F2208" s="3">
        <f t="shared" ref="F2208:K2208" si="1315">SUM(F2209:F2217)</f>
        <v>1.06952171262813E-3</v>
      </c>
      <c r="G2208" s="3">
        <f t="shared" si="1315"/>
        <v>15.040687626979059</v>
      </c>
      <c r="H2208" s="3">
        <f t="shared" si="1315"/>
        <v>62.733306548479106</v>
      </c>
      <c r="I2208" s="3">
        <f t="shared" si="1315"/>
        <v>169.50470047911494</v>
      </c>
      <c r="J2208" s="3">
        <f t="shared" si="1315"/>
        <v>199.95570914403652</v>
      </c>
      <c r="K2208" s="3">
        <f t="shared" si="1315"/>
        <v>394.1718716093207</v>
      </c>
    </row>
    <row r="2209" spans="2:11" x14ac:dyDescent="0.35">
      <c r="B2209" s="5" t="str">
        <f t="shared" si="1312"/>
        <v>SPS2</v>
      </c>
      <c r="C2209" s="5" t="str">
        <f t="shared" si="1313"/>
        <v>CH</v>
      </c>
      <c r="D2209" t="s">
        <v>2357</v>
      </c>
      <c r="E2209" t="s">
        <v>2000</v>
      </c>
      <c r="F2209" s="1" cm="1">
        <f t="array" ref="F2209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09" s="1" cm="1">
        <f t="array" ref="G2209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09" s="1" cm="1">
        <f t="array" ref="H2209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09" s="1" cm="1">
        <f t="array" ref="I2209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09" s="1" cm="1">
        <f t="array" ref="J2209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09" s="1" cm="1">
        <f t="array" ref="K2209">(SUMPRODUCT(("var_ncap"=[1]OUT_TransportEnergyCons!$B$4:$B$10000)*1,("-"=[1]OUT_TransportEnergyCons!$C$4:$C$10000)*1,ISNUMBER(SEARCH("tfl*bev*ext",[1]OUT_TransportEnergyCons!$A$4:$A$10000))*1,[1]OUT_TransportEnergyCons!I$4:I$10000))*1000</f>
        <v>0</v>
      </c>
    </row>
    <row r="2210" spans="2:11" x14ac:dyDescent="0.35">
      <c r="B2210" s="5" t="str">
        <f t="shared" si="1312"/>
        <v>SPS2</v>
      </c>
      <c r="C2210" s="5" t="str">
        <f t="shared" si="1313"/>
        <v>CH</v>
      </c>
      <c r="D2210" t="s">
        <v>2358</v>
      </c>
      <c r="E2210" t="s">
        <v>2000</v>
      </c>
      <c r="F2210" s="1" cm="1">
        <f t="array" ref="F2210">(SUMPRODUCT(("var_ncap"=[1]OUT_TransportEnergyCons!$B$4:$B$10000)*1,("-"=[1]OUT_TransportEnergyCons!$C$4:$C$10000)*1,ISNUMBER(SEARCH("tfl*bev*",[1]OUT_TransportEnergyCons!$A$4:$A$10000))*1,[1]OUT_TransportEnergyCons!D$4:D$10000))*1000-F2209</f>
        <v>0</v>
      </c>
      <c r="G2210" s="1" cm="1">
        <f t="array" ref="G2210">(SUMPRODUCT(("var_ncap"=[1]OUT_TransportEnergyCons!$B$4:$B$10000)*1,("-"=[1]OUT_TransportEnergyCons!$C$4:$C$10000)*1,ISNUMBER(SEARCH("tfl*bev*",[1]OUT_TransportEnergyCons!$A$4:$A$10000))*1,[1]OUT_TransportEnergyCons!E$4:E$10000))*1000-G2209</f>
        <v>1.8461784988560599</v>
      </c>
      <c r="H2210" s="1" cm="1">
        <f t="array" ref="H2210">(SUMPRODUCT(("var_ncap"=[1]OUT_TransportEnergyCons!$B$4:$B$10000)*1,("-"=[1]OUT_TransportEnergyCons!$C$4:$C$10000)*1,ISNUMBER(SEARCH("tfl*bev*",[1]OUT_TransportEnergyCons!$A$4:$A$10000))*1,[1]OUT_TransportEnergyCons!F$4:F$10000))*1000-H2209</f>
        <v>2.1688332670954802</v>
      </c>
      <c r="I2210" s="1" cm="1">
        <f t="array" ref="I2210">(SUMPRODUCT(("var_ncap"=[1]OUT_TransportEnergyCons!$B$4:$B$10000)*1,("-"=[1]OUT_TransportEnergyCons!$C$4:$C$10000)*1,ISNUMBER(SEARCH("tfl*bev*",[1]OUT_TransportEnergyCons!$A$4:$A$10000))*1,[1]OUT_TransportEnergyCons!G$4:G$10000))*1000-I2209</f>
        <v>169.271404184038</v>
      </c>
      <c r="J2210" s="1" cm="1">
        <f t="array" ref="J2210">(SUMPRODUCT(("var_ncap"=[1]OUT_TransportEnergyCons!$B$4:$B$10000)*1,("-"=[1]OUT_TransportEnergyCons!$C$4:$C$10000)*1,ISNUMBER(SEARCH("tfl*bev*",[1]OUT_TransportEnergyCons!$A$4:$A$10000))*1,[1]OUT_TransportEnergyCons!H$4:H$10000))*1000-J2209</f>
        <v>199.95463404300202</v>
      </c>
      <c r="K2210" s="1" cm="1">
        <f t="array" ref="K2210">(SUMPRODUCT(("var_ncap"=[1]OUT_TransportEnergyCons!$B$4:$B$10000)*1,("-"=[1]OUT_TransportEnergyCons!$C$4:$C$10000)*1,ISNUMBER(SEARCH("tfl*bev*",[1]OUT_TransportEnergyCons!$A$4:$A$10000))*1,[1]OUT_TransportEnergyCons!I$4:I$10000))*1000-K2209</f>
        <v>394.17058145073202</v>
      </c>
    </row>
    <row r="2211" spans="2:11" x14ac:dyDescent="0.35">
      <c r="B2211" s="5" t="str">
        <f t="shared" si="1312"/>
        <v>SPS2</v>
      </c>
      <c r="C2211" s="5" t="str">
        <f t="shared" si="1313"/>
        <v>CH</v>
      </c>
      <c r="D2211" t="s">
        <v>2359</v>
      </c>
      <c r="E2211" t="s">
        <v>2000</v>
      </c>
      <c r="F2211" s="1" cm="1">
        <f t="array" ref="F2211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1" s="1" cm="1">
        <f t="array" ref="G2211">(SUMPRODUCT(("var_ncap"=[1]OUT_TransportEnergyCons!$B$4:$B$10000)*1,("-"=[1]OUT_TransportEnergyCons!$C$4:$C$10000)*1,ISNUMBER(SEARCH("tfl*h2o*",[1]OUT_TransportEnergyCons!$A$4:$A$10000))*1,[1]OUT_TransportEnergyCons!E$4:E$10000))*1000</f>
        <v>5.1449274881720094E-3</v>
      </c>
      <c r="H2211" s="1" cm="1">
        <f t="array" ref="H2211">(SUMPRODUCT(("var_ncap"=[1]OUT_TransportEnergyCons!$B$4:$B$10000)*1,("-"=[1]OUT_TransportEnergyCons!$C$4:$C$10000)*1,ISNUMBER(SEARCH("tfl*h2o*",[1]OUT_TransportEnergyCons!$A$4:$A$10000))*1,[1]OUT_TransportEnergyCons!F$4:F$10000))*1000</f>
        <v>2.7057772334270701E-3</v>
      </c>
      <c r="I2211" s="1" cm="1">
        <f t="array" ref="I2211">(SUMPRODUCT(("var_ncap"=[1]OUT_TransportEnergyCons!$B$4:$B$10000)*1,("-"=[1]OUT_TransportEnergyCons!$C$4:$C$10000)*1,ISNUMBER(SEARCH("tfl*h2o*",[1]OUT_TransportEnergyCons!$A$4:$A$10000))*1,[1]OUT_TransportEnergyCons!G$4:G$10000))*1000</f>
        <v>6.8706328622750092E-4</v>
      </c>
      <c r="J2211" s="1" cm="1">
        <f t="array" ref="J2211">(SUMPRODUCT(("var_ncap"=[1]OUT_TransportEnergyCons!$B$4:$B$10000)*1,("-"=[1]OUT_TransportEnergyCons!$C$4:$C$10000)*1,ISNUMBER(SEARCH("tfl*h2o*",[1]OUT_TransportEnergyCons!$A$4:$A$10000))*1,[1]OUT_TransportEnergyCons!H$4:H$10000))*1000</f>
        <v>1.07510103449095E-3</v>
      </c>
      <c r="K2211" s="1" cm="1">
        <f t="array" ref="K2211">(SUMPRODUCT(("var_ncap"=[1]OUT_TransportEnergyCons!$B$4:$B$10000)*1,("-"=[1]OUT_TransportEnergyCons!$C$4:$C$10000)*1,ISNUMBER(SEARCH("tfl*h2o*",[1]OUT_TransportEnergyCons!$A$4:$A$10000))*1,[1]OUT_TransportEnergyCons!I$4:I$10000))*1000</f>
        <v>1.2901585886714001E-3</v>
      </c>
    </row>
    <row r="2212" spans="2:11" x14ac:dyDescent="0.35">
      <c r="B2212" s="5" t="str">
        <f t="shared" si="1312"/>
        <v>SPS2</v>
      </c>
      <c r="C2212" s="5" t="str">
        <f t="shared" si="1313"/>
        <v>CH</v>
      </c>
      <c r="D2212" t="s">
        <v>2360</v>
      </c>
      <c r="E2212" t="s">
        <v>2000</v>
      </c>
      <c r="F2212" s="1" cm="1">
        <f t="array" ref="F2212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2" s="1" cm="1">
        <f t="array" ref="G2212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2" s="1" cm="1">
        <f t="array" ref="H2212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2" s="1" cm="1">
        <f t="array" ref="I2212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2" s="1" cm="1">
        <f t="array" ref="J2212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2" s="1" cm="1">
        <f t="array" ref="K2212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</row>
    <row r="2213" spans="2:11" x14ac:dyDescent="0.35">
      <c r="B2213" s="5" t="str">
        <f t="shared" si="1312"/>
        <v>SPS2</v>
      </c>
      <c r="C2213" s="5" t="str">
        <f t="shared" si="1313"/>
        <v>CH</v>
      </c>
      <c r="D2213" t="s">
        <v>2361</v>
      </c>
      <c r="E2213" t="s">
        <v>2000</v>
      </c>
      <c r="F2213" s="1" cm="1">
        <f t="array" ref="F2213">(SUMPRODUCT(("var_ncap"=[1]OUT_TransportEnergyCons!$B$4:$B$10000)*1,("-"=[1]OUT_TransportEnergyCons!$C$4:$C$10000)*1,ISNUMBER(SEARCH("TfL*ICE*GSL*",[1]OUT_TransportEnergyCons!$A$4:$A$10000))*1,[1]OUT_TransportEnergyCons!D$4:D$10000))*1000-F2212</f>
        <v>0</v>
      </c>
      <c r="G2213" s="1" cm="1">
        <f t="array" ref="G2213">(SUMPRODUCT(("var_ncap"=[1]OUT_TransportEnergyCons!$B$4:$B$10000)*1,("-"=[1]OUT_TransportEnergyCons!$C$4:$C$10000)*1,ISNUMBER(SEARCH("TfL*ICE*GSL*",[1]OUT_TransportEnergyCons!$A$4:$A$10000))*1,[1]OUT_TransportEnergyCons!E$4:E$10000))*1000-G2212</f>
        <v>2.1453250116376399</v>
      </c>
      <c r="H2213" s="1" cm="1">
        <f t="array" ref="H2213">(SUMPRODUCT(("var_ncap"=[1]OUT_TransportEnergyCons!$B$4:$B$10000)*1,("-"=[1]OUT_TransportEnergyCons!$C$4:$C$10000)*1,ISNUMBER(SEARCH("TfL*ICE*GSL*",[1]OUT_TransportEnergyCons!$A$4:$A$10000))*1,[1]OUT_TransportEnergyCons!F$4:F$10000))*1000-H2212</f>
        <v>12.5054028401808</v>
      </c>
      <c r="I2213" s="1" cm="1">
        <f t="array" ref="I2213">(SUMPRODUCT(("var_ncap"=[1]OUT_TransportEnergyCons!$B$4:$B$10000)*1,("-"=[1]OUT_TransportEnergyCons!$C$4:$C$10000)*1,ISNUMBER(SEARCH("TfL*ICE*GSL*",[1]OUT_TransportEnergyCons!$A$4:$A$10000))*1,[1]OUT_TransportEnergyCons!G$4:G$10000))*1000-I2212</f>
        <v>9.8918115420340999E-2</v>
      </c>
      <c r="J2213" s="1" cm="1">
        <f t="array" ref="J2213">(SUMPRODUCT(("var_ncap"=[1]OUT_TransportEnergyCons!$B$4:$B$10000)*1,("-"=[1]OUT_TransportEnergyCons!$C$4:$C$10000)*1,ISNUMBER(SEARCH("TfL*ICE*GSL*",[1]OUT_TransportEnergyCons!$A$4:$A$10000))*1,[1]OUT_TransportEnergyCons!H$4:H$10000))*1000-J2212</f>
        <v>0</v>
      </c>
      <c r="K2213" s="1" cm="1">
        <f t="array" ref="K2213">(SUMPRODUCT(("var_ncap"=[1]OUT_TransportEnergyCons!$B$4:$B$10000)*1,("-"=[1]OUT_TransportEnergyCons!$C$4:$C$10000)*1,ISNUMBER(SEARCH("TfL*ICE*GSL*",[1]OUT_TransportEnergyCons!$A$4:$A$10000))*1,[1]OUT_TransportEnergyCons!I$4:I$10000))*1000-K2212</f>
        <v>0</v>
      </c>
    </row>
    <row r="2214" spans="2:11" x14ac:dyDescent="0.35">
      <c r="B2214" s="5" t="str">
        <f t="shared" si="1312"/>
        <v>SPS2</v>
      </c>
      <c r="C2214" s="5" t="str">
        <f t="shared" si="1313"/>
        <v>CH</v>
      </c>
      <c r="D2214" t="s">
        <v>2362</v>
      </c>
      <c r="E2214" t="s">
        <v>2000</v>
      </c>
      <c r="F2214" s="1" cm="1">
        <f t="array" ref="F2214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</row>
    <row r="2215" spans="2:11" x14ac:dyDescent="0.35">
      <c r="B2215" s="5" t="str">
        <f t="shared" si="1312"/>
        <v>SPS2</v>
      </c>
      <c r="C2215" s="5" t="str">
        <f t="shared" si="1313"/>
        <v>CH</v>
      </c>
      <c r="D2215" t="s">
        <v>2363</v>
      </c>
      <c r="E2215" t="s">
        <v>2000</v>
      </c>
      <c r="F2215" s="1" cm="1">
        <f t="array" ref="F2215">(SUMPRODUCT(("var_ncap"=[1]OUT_TransportEnergyCons!$B$4:$B$10000)*1,("-"=[1]OUT_TransportEnergyCons!$C$4:$C$10000)*1,ISNUMBER(SEARCH("tfl*ICE*DSL*",[1]OUT_TransportEnergyCons!$A$4:$A$10000))*1,[1]OUT_TransportEnergyCons!D$4:D$10000))*1000-F2214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(SUMPRODUCT(("var_ncap"=[1]OUT_TransportEnergyCons!$B$4:$B$10000)*1,("-"=[1]OUT_TransportEnergyCons!$C$4:$C$10000)*1,ISNUMBER(SEARCH("tfl*ICE*DSL*",[1]OUT_TransportEnergyCons!$A$4:$A$10000))*1,[1]OUT_TransportEnergyCons!E$4:E$10000))*1000-G2214</f>
        <v>6.8253157959925995E-2</v>
      </c>
      <c r="H2215" s="1" cm="1">
        <f t="array" ref="H2215">(SUMPRODUCT(("var_ncap"=[1]OUT_TransportEnergyCons!$B$4:$B$10000)*1,("-"=[1]OUT_TransportEnergyCons!$C$4:$C$10000)*1,ISNUMBER(SEARCH("tfl*ICE*DSL*",[1]OUT_TransportEnergyCons!$A$4:$A$10000))*1,[1]OUT_TransportEnergyCons!F$4:F$10000))*1000-H2214</f>
        <v>0.36804895816083005</v>
      </c>
      <c r="I2215" s="1" cm="1">
        <f t="array" ref="I2215">(SUMPRODUCT(("var_ncap"=[1]OUT_TransportEnergyCons!$B$4:$B$10000)*1,("-"=[1]OUT_TransportEnergyCons!$C$4:$C$10000)*1,ISNUMBER(SEARCH("tfl*ICE*DSL*",[1]OUT_TransportEnergyCons!$A$4:$A$10000))*1,[1]OUT_TransportEnergyCons!G$4:G$10000))*1000-I2214</f>
        <v>4.9743179921512802E-2</v>
      </c>
      <c r="J2215" s="1" cm="1">
        <f t="array" ref="J2215">(SUMPRODUCT(("var_ncap"=[1]OUT_TransportEnergyCons!$B$4:$B$10000)*1,("-"=[1]OUT_TransportEnergyCons!$C$4:$C$10000)*1,ISNUMBER(SEARCH("tfl*ICE*DSL*",[1]OUT_TransportEnergyCons!$A$4:$A$10000))*1,[1]OUT_TransportEnergyCons!H$4:H$10000))*1000-J2214</f>
        <v>0</v>
      </c>
      <c r="K2215" s="1" cm="1">
        <f t="array" ref="K2215">(SUMPRODUCT(("var_ncap"=[1]OUT_TransportEnergyCons!$B$4:$B$10000)*1,("-"=[1]OUT_TransportEnergyCons!$C$4:$C$10000)*1,ISNUMBER(SEARCH("tfl*ICE*DSL*",[1]OUT_TransportEnergyCons!$A$4:$A$10000))*1,[1]OUT_TransportEnergyCons!I$4:I$10000))*1000-K2214</f>
        <v>0</v>
      </c>
    </row>
    <row r="2216" spans="2:11" x14ac:dyDescent="0.35">
      <c r="B2216" s="5" t="str">
        <f t="shared" si="1312"/>
        <v>SPS2</v>
      </c>
      <c r="C2216" s="5" t="str">
        <f t="shared" si="1313"/>
        <v>CH</v>
      </c>
      <c r="D2216" t="s">
        <v>2364</v>
      </c>
      <c r="E2216" t="s">
        <v>2000</v>
      </c>
      <c r="F2216" s="1" cm="1">
        <f t="array" ref="F2216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(SUMPRODUCT(("var_ncap"=[1]OUT_TransportEnergyCons!$B$4:$B$10000)*1,("-"=[1]OUT_TransportEnergyCons!$C$4:$C$10000)*1,ISNUMBER(SEARCH("tfl*hyb*DSL*",[1]OUT_TransportEnergyCons!$A$4:$A$10000))*1,[1]OUT_TransportEnergyCons!E$4:E$10000))*1000</f>
        <v>10.9657439150894</v>
      </c>
      <c r="H2216" s="1" cm="1">
        <f t="array" ref="H2216">(SUMPRODUCT(("var_ncap"=[1]OUT_TransportEnergyCons!$B$4:$B$10000)*1,("-"=[1]OUT_TransportEnergyCons!$C$4:$C$10000)*1,ISNUMBER(SEARCH("tfl*hyb*DSL*",[1]OUT_TransportEnergyCons!$A$4:$A$10000))*1,[1]OUT_TransportEnergyCons!F$4:F$10000))*1000</f>
        <v>47.682987791032403</v>
      </c>
      <c r="I2216" s="1" cm="1">
        <f t="array" ref="I2216">(SUMPRODUCT(("var_ncap"=[1]OUT_TransportEnergyCons!$B$4:$B$10000)*1,("-"=[1]OUT_TransportEnergyCons!$C$4:$C$10000)*1,ISNUMBER(SEARCH("tfl*hyb*DSL*",[1]OUT_TransportEnergyCons!$A$4:$A$10000))*1,[1]OUT_TransportEnergyCons!G$4:G$10000))*1000</f>
        <v>7.7474765746682897E-2</v>
      </c>
      <c r="J2216" s="1" cm="1">
        <f t="array" ref="J2216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16" s="1" cm="1">
        <f t="array" ref="K2216">(SUMPRODUCT(("var_ncap"=[1]OUT_TransportEnergyCons!$B$4:$B$10000)*1,("-"=[1]OUT_TransportEnergyCons!$C$4:$C$10000)*1,ISNUMBER(SEARCH("tfl*hyb*DSL*",[1]OUT_TransportEnergyCons!$A$4:$A$10000))*1,[1]OUT_TransportEnergyCons!I$4:I$10000))*1000</f>
        <v>0</v>
      </c>
    </row>
    <row r="2217" spans="2:11" x14ac:dyDescent="0.35">
      <c r="B2217" s="5" t="str">
        <f t="shared" si="1312"/>
        <v>SPS2</v>
      </c>
      <c r="C2217" s="5" t="str">
        <f t="shared" si="1313"/>
        <v>CH</v>
      </c>
      <c r="D2217" t="s">
        <v>2365</v>
      </c>
      <c r="E2217" t="s">
        <v>2000</v>
      </c>
      <c r="F2217" s="1" cm="1">
        <f t="array" ref="F2217">(SUMPRODUCT(("var_ncap"=[1]OUT_TransportEnergyCons!$B$4:$B$10000)*1,("-"=[1]OUT_TransportEnergyCons!$C$4:$C$10000)*1,ISNUMBER(SEARCH("tfl*ice*nga*",[1]OUT_TransportEnergyCons!$A$4:$A$10000))*1,[1]OUT_TransportEnergyCons!D$4:D$10000))*1000</f>
        <v>1.06952171262813E-3</v>
      </c>
      <c r="G2217" s="1" cm="1">
        <f t="array" ref="G2217">(SUMPRODUCT(("var_ncap"=[1]OUT_TransportEnergyCons!$B$4:$B$10000)*1,("-"=[1]OUT_TransportEnergyCons!$C$4:$C$10000)*1,ISNUMBER(SEARCH("tfl*ice*nga*",[1]OUT_TransportEnergyCons!$A$4:$A$10000))*1,[1]OUT_TransportEnergyCons!E$4:E$10000))*1000</f>
        <v>1.00421159478615E-2</v>
      </c>
      <c r="H2217" s="1" cm="1">
        <f t="array" ref="H2217">(SUMPRODUCT(("var_ncap"=[1]OUT_TransportEnergyCons!$B$4:$B$10000)*1,("-"=[1]OUT_TransportEnergyCons!$C$4:$C$10000)*1,ISNUMBER(SEARCH("tfl*ice*nga*",[1]OUT_TransportEnergyCons!$A$4:$A$10000))*1,[1]OUT_TransportEnergyCons!F$4:F$10000))*1000</f>
        <v>5.3279147761704799E-3</v>
      </c>
      <c r="I2217" s="1" cm="1">
        <f t="array" ref="I2217">(SUMPRODUCT(("var_ncap"=[1]OUT_TransportEnergyCons!$B$4:$B$10000)*1,("-"=[1]OUT_TransportEnergyCons!$C$4:$C$10000)*1,ISNUMBER(SEARCH("tfl*ice*nga*",[1]OUT_TransportEnergyCons!$A$4:$A$10000))*1,[1]OUT_TransportEnergyCons!G$4:G$10000))*1000</f>
        <v>6.4731707021997899E-3</v>
      </c>
      <c r="J2217" s="1" cm="1">
        <f t="array" ref="J2217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(SUMPRODUCT(("var_ncap"=[1]OUT_TransportEnergyCons!$B$4:$B$10000)*1,("-"=[1]OUT_TransportEnergyCons!$C$4:$C$10000)*1,ISNUMBER(SEARCH("tfl*ice*nga*",[1]OUT_TransportEnergyCons!$A$4:$A$10000))*1,[1]OUT_TransportEnergyCons!I$4:I$10000))*1000</f>
        <v>0</v>
      </c>
    </row>
    <row r="2218" spans="2:11" x14ac:dyDescent="0.35">
      <c r="B2218" s="5" t="str">
        <f t="shared" si="1312"/>
        <v>SPS2</v>
      </c>
      <c r="C2218" s="5" t="str">
        <f t="shared" si="1313"/>
        <v>CH</v>
      </c>
      <c r="D2218" s="2" t="s">
        <v>2190</v>
      </c>
      <c r="E2218" s="2" t="s">
        <v>2000</v>
      </c>
      <c r="F2218" s="3">
        <f t="shared" ref="F2218:K2218" si="1316">SUM(F2219:F2227)</f>
        <v>0</v>
      </c>
      <c r="G2218" s="3">
        <f t="shared" si="1316"/>
        <v>3.5048705350502174</v>
      </c>
      <c r="H2218" s="3">
        <f t="shared" si="1316"/>
        <v>9.2940409345870911</v>
      </c>
      <c r="I2218" s="3">
        <f t="shared" si="1316"/>
        <v>26.416713552335526</v>
      </c>
      <c r="J2218" s="3">
        <f t="shared" si="1316"/>
        <v>21.652822187469386</v>
      </c>
      <c r="K2218" s="3">
        <f t="shared" si="1316"/>
        <v>49.38896274909829</v>
      </c>
    </row>
    <row r="2219" spans="2:11" x14ac:dyDescent="0.35">
      <c r="B2219" s="5" t="str">
        <f t="shared" si="1312"/>
        <v>SPS2</v>
      </c>
      <c r="C2219" s="5" t="str">
        <f t="shared" si="1313"/>
        <v>CH</v>
      </c>
      <c r="D2219" t="s">
        <v>2366</v>
      </c>
      <c r="E2219" t="s">
        <v>2000</v>
      </c>
      <c r="F2219" s="1" cm="1">
        <f t="array" ref="F2219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(SUMPRODUCT(("var_ncap"=[1]OUT_TransportEnergyCons!$B$4:$B$10000)*1,("-"=[1]OUT_TransportEnergyCons!$C$4:$C$10000)*1,ISNUMBER(SEARCH("tfh*bev*ext",[1]OUT_TransportEnergyCons!$A$4:$A$10000))*1,[1]OUT_TransportEnergyCons!I$4:I$10000))*1000</f>
        <v>0</v>
      </c>
    </row>
    <row r="2220" spans="2:11" x14ac:dyDescent="0.35">
      <c r="B2220" s="5" t="str">
        <f t="shared" si="1312"/>
        <v>SPS2</v>
      </c>
      <c r="C2220" s="5" t="str">
        <f t="shared" si="1313"/>
        <v>CH</v>
      </c>
      <c r="D2220" t="s">
        <v>2367</v>
      </c>
      <c r="E2220" t="s">
        <v>2000</v>
      </c>
      <c r="F2220" s="1" cm="1">
        <f t="array" ref="F2220">(SUMPRODUCT(("var_ncap"=[1]OUT_TransportEnergyCons!$B$4:$B$10000)*1,("-"=[1]OUT_TransportEnergyCons!$C$4:$C$10000)*1,ISNUMBER(SEARCH("tfh*bev*",[1]OUT_TransportEnergyCons!$A$4:$A$10000))*1,[1]OUT_TransportEnergyCons!D$4:D$10000))*1000-F2219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(SUMPRODUCT(("var_ncap"=[1]OUT_TransportEnergyCons!$B$4:$B$10000)*1,("-"=[1]OUT_TransportEnergyCons!$C$4:$C$10000)*1,ISNUMBER(SEARCH("tfh*bev*",[1]OUT_TransportEnergyCons!$A$4:$A$10000))*1,[1]OUT_TransportEnergyCons!E$4:E$10000))*1000-G2219</f>
        <v>1.6708759956841401E-2</v>
      </c>
      <c r="H2220" s="1" cm="1">
        <f t="array" ref="H2220">(SUMPRODUCT(("var_ncap"=[1]OUT_TransportEnergyCons!$B$4:$B$10000)*1,("-"=[1]OUT_TransportEnergyCons!$C$4:$C$10000)*1,ISNUMBER(SEARCH("tfh*bev*",[1]OUT_TransportEnergyCons!$A$4:$A$10000))*1,[1]OUT_TransportEnergyCons!F$4:F$10000))*1000-H2219</f>
        <v>3.0833553752230302E-2</v>
      </c>
      <c r="I2220" s="1" cm="1">
        <f t="array" ref="I2220">(SUMPRODUCT(("var_ncap"=[1]OUT_TransportEnergyCons!$B$4:$B$10000)*1,("-"=[1]OUT_TransportEnergyCons!$C$4:$C$10000)*1,ISNUMBER(SEARCH("tfh*bev*",[1]OUT_TransportEnergyCons!$A$4:$A$10000))*1,[1]OUT_TransportEnergyCons!G$4:G$10000))*1000-I2219</f>
        <v>26.393594370995402</v>
      </c>
      <c r="J2220" s="1" cm="1">
        <f t="array" ref="J2220">(SUMPRODUCT(("var_ncap"=[1]OUT_TransportEnergyCons!$B$4:$B$10000)*1,("-"=[1]OUT_TransportEnergyCons!$C$4:$C$10000)*1,ISNUMBER(SEARCH("tfh*bev*",[1]OUT_TransportEnergyCons!$A$4:$A$10000))*1,[1]OUT_TransportEnergyCons!H$4:H$10000))*1000-J2219</f>
        <v>21.6267109424521</v>
      </c>
      <c r="K2220" s="1" cm="1">
        <f t="array" ref="K2220">(SUMPRODUCT(("var_ncap"=[1]OUT_TransportEnergyCons!$B$4:$B$10000)*1,("-"=[1]OUT_TransportEnergyCons!$C$4:$C$10000)*1,ISNUMBER(SEARCH("tfh*bev*",[1]OUT_TransportEnergyCons!$A$4:$A$10000))*1,[1]OUT_TransportEnergyCons!I$4:I$10000))*1000-K2219</f>
        <v>49.385878726347897</v>
      </c>
    </row>
    <row r="2221" spans="2:11" x14ac:dyDescent="0.35">
      <c r="B2221" s="5" t="str">
        <f t="shared" si="1312"/>
        <v>SPS2</v>
      </c>
      <c r="C2221" s="5" t="str">
        <f t="shared" si="1313"/>
        <v>CH</v>
      </c>
      <c r="D2221" t="s">
        <v>2368</v>
      </c>
      <c r="E2221" t="s">
        <v>2000</v>
      </c>
      <c r="F2221" s="1" cm="1">
        <f t="array" ref="F2221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(SUMPRODUCT(("var_ncap"=[1]OUT_TransportEnergyCons!$B$4:$B$10000)*1,("-"=[1]OUT_TransportEnergyCons!$C$4:$C$10000)*1,ISNUMBER(SEARCH("tfh*h2o*",[1]OUT_TransportEnergyCons!$A$4:$A$10000))*1,[1]OUT_TransportEnergyCons!E$4:E$10000))*1000</f>
        <v>6.1653868682650997E-4</v>
      </c>
      <c r="H2221" s="1" cm="1">
        <f t="array" ref="H2221">(SUMPRODUCT(("var_ncap"=[1]OUT_TransportEnergyCons!$B$4:$B$10000)*1,("-"=[1]OUT_TransportEnergyCons!$C$4:$C$10000)*1,ISNUMBER(SEARCH("tfh*h2o*",[1]OUT_TransportEnergyCons!$A$4:$A$10000))*1,[1]OUT_TransportEnergyCons!F$4:F$10000))*1000</f>
        <v>6.8754216246752302E-4</v>
      </c>
      <c r="I2221" s="1" cm="1">
        <f t="array" ref="I2221">(SUMPRODUCT(("var_ncap"=[1]OUT_TransportEnergyCons!$B$4:$B$10000)*1,("-"=[1]OUT_TransportEnergyCons!$C$4:$C$10000)*1,ISNUMBER(SEARCH("tfh*h2o*",[1]OUT_TransportEnergyCons!$A$4:$A$10000))*1,[1]OUT_TransportEnergyCons!G$4:G$10000))*1000</f>
        <v>1.3066414547865399E-3</v>
      </c>
      <c r="J2221" s="1" cm="1">
        <f t="array" ref="J2221">(SUMPRODUCT(("var_ncap"=[1]OUT_TransportEnergyCons!$B$4:$B$10000)*1,("-"=[1]OUT_TransportEnergyCons!$C$4:$C$10000)*1,ISNUMBER(SEARCH("tfh*h2o*",[1]OUT_TransportEnergyCons!$A$4:$A$10000))*1,[1]OUT_TransportEnergyCons!H$4:H$10000))*1000</f>
        <v>1.5572683822365099E-3</v>
      </c>
      <c r="K2221" s="1" cm="1">
        <f t="array" ref="K2221">(SUMPRODUCT(("var_ncap"=[1]OUT_TransportEnergyCons!$B$4:$B$10000)*1,("-"=[1]OUT_TransportEnergyCons!$C$4:$C$10000)*1,ISNUMBER(SEARCH("tfh*h2o*",[1]OUT_TransportEnergyCons!$A$4:$A$10000))*1,[1]OUT_TransportEnergyCons!I$4:I$10000))*1000</f>
        <v>3.0840227503941002E-3</v>
      </c>
    </row>
    <row r="2222" spans="2:11" x14ac:dyDescent="0.35">
      <c r="B2222" s="5" t="str">
        <f t="shared" si="1312"/>
        <v>SPS2</v>
      </c>
      <c r="C2222" s="5" t="str">
        <f t="shared" si="1313"/>
        <v>CH</v>
      </c>
      <c r="D2222" t="s">
        <v>2369</v>
      </c>
      <c r="E2222" t="s">
        <v>2000</v>
      </c>
      <c r="F2222" s="1" cm="1">
        <f t="array" ref="F2222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2" s="1" cm="1">
        <f t="array" ref="H2222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2" s="1" cm="1">
        <f t="array" ref="I2222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</row>
    <row r="2223" spans="2:11" x14ac:dyDescent="0.35">
      <c r="B2223" s="5" t="str">
        <f t="shared" si="1312"/>
        <v>SPS2</v>
      </c>
      <c r="C2223" s="5" t="str">
        <f t="shared" si="1313"/>
        <v>CH</v>
      </c>
      <c r="D2223" t="s">
        <v>2370</v>
      </c>
      <c r="E2223" t="s">
        <v>2000</v>
      </c>
      <c r="F2223" s="1" cm="1">
        <f t="array" ref="F2223">(SUMPRODUCT(("var_ncap"=[1]OUT_TransportEnergyCons!$B$4:$B$10000)*1,("-"=[1]OUT_TransportEnergyCons!$C$4:$C$10000)*1,ISNUMBER(SEARCH("tfh*ICE*GSL*",[1]OUT_TransportEnergyCons!$A$4:$A$10000))*1,[1]OUT_TransportEnergyCons!D$4:D$10000))*1000-F2222</f>
        <v>0</v>
      </c>
      <c r="G2223" s="1" cm="1">
        <f t="array" ref="G2223">(SUMPRODUCT(("var_ncap"=[1]OUT_TransportEnergyCons!$B$4:$B$10000)*1,("-"=[1]OUT_TransportEnergyCons!$C$4:$C$10000)*1,ISNUMBER(SEARCH("tfh*ICE*GSL*",[1]OUT_TransportEnergyCons!$A$4:$A$10000))*1,[1]OUT_TransportEnergyCons!E$4:E$10000))*1000-G2222</f>
        <v>0</v>
      </c>
      <c r="H2223" s="1" cm="1">
        <f t="array" ref="H2223">(SUMPRODUCT(("var_ncap"=[1]OUT_TransportEnergyCons!$B$4:$B$10000)*1,("-"=[1]OUT_TransportEnergyCons!$C$4:$C$10000)*1,ISNUMBER(SEARCH("tfh*ICE*GSL*",[1]OUT_TransportEnergyCons!$A$4:$A$10000))*1,[1]OUT_TransportEnergyCons!F$4:F$10000))*1000-H2222</f>
        <v>0</v>
      </c>
      <c r="I2223" s="1" cm="1">
        <f t="array" ref="I2223">(SUMPRODUCT(("var_ncap"=[1]OUT_TransportEnergyCons!$B$4:$B$10000)*1,("-"=[1]OUT_TransportEnergyCons!$C$4:$C$10000)*1,ISNUMBER(SEARCH("tfh*ICE*GSL*",[1]OUT_TransportEnergyCons!$A$4:$A$10000))*1,[1]OUT_TransportEnergyCons!G$4:G$10000))*1000-I2222</f>
        <v>0</v>
      </c>
      <c r="J2223" s="1" cm="1">
        <f t="array" ref="J2223">(SUMPRODUCT(("var_ncap"=[1]OUT_TransportEnergyCons!$B$4:$B$10000)*1,("-"=[1]OUT_TransportEnergyCons!$C$4:$C$10000)*1,ISNUMBER(SEARCH("tfh*ICE*GSL*",[1]OUT_TransportEnergyCons!$A$4:$A$10000))*1,[1]OUT_TransportEnergyCons!H$4:H$10000))*1000-J2222</f>
        <v>0</v>
      </c>
      <c r="K2223" s="1" cm="1">
        <f t="array" ref="K2223">(SUMPRODUCT(("var_ncap"=[1]OUT_TransportEnergyCons!$B$4:$B$10000)*1,("-"=[1]OUT_TransportEnergyCons!$C$4:$C$10000)*1,ISNUMBER(SEARCH("tfh*ICE*GSL*",[1]OUT_TransportEnergyCons!$A$4:$A$10000))*1,[1]OUT_TransportEnergyCons!I$4:I$10000))*1000-K2222</f>
        <v>0</v>
      </c>
    </row>
    <row r="2224" spans="2:11" x14ac:dyDescent="0.35">
      <c r="B2224" s="5" t="str">
        <f t="shared" si="1312"/>
        <v>SPS2</v>
      </c>
      <c r="C2224" s="5" t="str">
        <f t="shared" si="1313"/>
        <v>CH</v>
      </c>
      <c r="D2224" t="s">
        <v>2371</v>
      </c>
      <c r="E2224" t="s">
        <v>2000</v>
      </c>
      <c r="F2224" s="1" cm="1">
        <f t="array" ref="F2224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</row>
    <row r="2225" spans="2:11" x14ac:dyDescent="0.35">
      <c r="B2225" s="5" t="str">
        <f t="shared" si="1312"/>
        <v>SPS2</v>
      </c>
      <c r="C2225" s="5" t="str">
        <f t="shared" si="1313"/>
        <v>CH</v>
      </c>
      <c r="D2225" t="s">
        <v>2372</v>
      </c>
      <c r="E2225" t="s">
        <v>2000</v>
      </c>
      <c r="F2225" s="1" cm="1">
        <f t="array" ref="F2225">(SUMPRODUCT(("var_ncap"=[1]OUT_TransportEnergyCons!$B$4:$B$10000)*1,("-"=[1]OUT_TransportEnergyCons!$C$4:$C$10000)*1,ISNUMBER(SEARCH("tfh*ICE*DSL*",[1]OUT_TransportEnergyCons!$A$4:$A$10000))*1,[1]OUT_TransportEnergyCons!D$4:D$10000))*1000-F2224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(SUMPRODUCT(("var_ncap"=[1]OUT_TransportEnergyCons!$B$4:$B$10000)*1,("-"=[1]OUT_TransportEnergyCons!$C$4:$C$10000)*1,ISNUMBER(SEARCH("tfh*ICE*DSL*",[1]OUT_TransportEnergyCons!$A$4:$A$10000))*1,[1]OUT_TransportEnergyCons!E$4:E$10000))*1000-G2224</f>
        <v>3.7044555505102998E-3</v>
      </c>
      <c r="H2225" s="1" cm="1">
        <f t="array" ref="H2225">(SUMPRODUCT(("var_ncap"=[1]OUT_TransportEnergyCons!$B$4:$B$10000)*1,("-"=[1]OUT_TransportEnergyCons!$C$4:$C$10000)*1,ISNUMBER(SEARCH("tfh*ICE*DSL*",[1]OUT_TransportEnergyCons!$A$4:$A$10000))*1,[1]OUT_TransportEnergyCons!F$4:F$10000))*1000-H2224</f>
        <v>4.8403422275976405E-3</v>
      </c>
      <c r="I2225" s="1" cm="1">
        <f t="array" ref="I2225">(SUMPRODUCT(("var_ncap"=[1]OUT_TransportEnergyCons!$B$4:$B$10000)*1,("-"=[1]OUT_TransportEnergyCons!$C$4:$C$10000)*1,ISNUMBER(SEARCH("tfh*ICE*DSL*",[1]OUT_TransportEnergyCons!$A$4:$A$10000))*1,[1]OUT_TransportEnergyCons!G$4:G$10000))*1000-I2224</f>
        <v>2.36267359463948E-3</v>
      </c>
      <c r="J2225" s="1" cm="1">
        <f t="array" ref="J2225">(SUMPRODUCT(("var_ncap"=[1]OUT_TransportEnergyCons!$B$4:$B$10000)*1,("-"=[1]OUT_TransportEnergyCons!$C$4:$C$10000)*1,ISNUMBER(SEARCH("tfh*ICE*DSL*",[1]OUT_TransportEnergyCons!$A$4:$A$10000))*1,[1]OUT_TransportEnergyCons!H$4:H$10000))*1000-J2224</f>
        <v>2.8346084242086502E-3</v>
      </c>
      <c r="K2225" s="1" cm="1">
        <f t="array" ref="K2225">(SUMPRODUCT(("var_ncap"=[1]OUT_TransportEnergyCons!$B$4:$B$10000)*1,("-"=[1]OUT_TransportEnergyCons!$C$4:$C$10000)*1,ISNUMBER(SEARCH("tfh*ICE*DSL*",[1]OUT_TransportEnergyCons!$A$4:$A$10000))*1,[1]OUT_TransportEnergyCons!I$4:I$10000))*1000-K2224</f>
        <v>0</v>
      </c>
    </row>
    <row r="2226" spans="2:11" x14ac:dyDescent="0.35">
      <c r="B2226" s="5" t="str">
        <f t="shared" si="1312"/>
        <v>SPS2</v>
      </c>
      <c r="C2226" s="5" t="str">
        <f t="shared" si="1313"/>
        <v>CH</v>
      </c>
      <c r="D2226" t="s">
        <v>2373</v>
      </c>
      <c r="E2226" t="s">
        <v>2000</v>
      </c>
      <c r="F2226" s="1" cm="1">
        <f t="array" ref="F2226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(SUMPRODUCT(("var_ncap"=[1]OUT_TransportEnergyCons!$B$4:$B$10000)*1,("-"=[1]OUT_TransportEnergyCons!$C$4:$C$10000)*1,ISNUMBER(SEARCH("tfh*hyb*DSL*",[1]OUT_TransportEnergyCons!$A$4:$A$10000))*1,[1]OUT_TransportEnergyCons!E$4:E$10000))*1000</f>
        <v>3.4821363773354199</v>
      </c>
      <c r="H2226" s="1" cm="1">
        <f t="array" ref="H2226">(SUMPRODUCT(("var_ncap"=[1]OUT_TransportEnergyCons!$B$4:$B$10000)*1,("-"=[1]OUT_TransportEnergyCons!$C$4:$C$10000)*1,ISNUMBER(SEARCH("tfh*hyb*DSL*",[1]OUT_TransportEnergyCons!$A$4:$A$10000))*1,[1]OUT_TransportEnergyCons!F$4:F$10000))*1000</f>
        <v>9.2531038931051999</v>
      </c>
      <c r="I2226" s="1" cm="1">
        <f t="array" ref="I2226">(SUMPRODUCT(("var_ncap"=[1]OUT_TransportEnergyCons!$B$4:$B$10000)*1,("-"=[1]OUT_TransportEnergyCons!$C$4:$C$10000)*1,ISNUMBER(SEARCH("tfh*hyb*DSL*",[1]OUT_TransportEnergyCons!$A$4:$A$10000))*1,[1]OUT_TransportEnergyCons!G$4:G$10000))*1000</f>
        <v>6.8563680775277002E-3</v>
      </c>
      <c r="J2226" s="1" cm="1">
        <f t="array" ref="J2226">(SUMPRODUCT(("var_ncap"=[1]OUT_TransportEnergyCons!$B$4:$B$10000)*1,("-"=[1]OUT_TransportEnergyCons!$C$4:$C$10000)*1,ISNUMBER(SEARCH("tfh*hyb*DSL*",[1]OUT_TransportEnergyCons!$A$4:$A$10000))*1,[1]OUT_TransportEnergyCons!H$4:H$10000))*1000</f>
        <v>1.1196796078414201E-2</v>
      </c>
      <c r="K2226" s="1" cm="1">
        <f t="array" ref="K2226">(SUMPRODUCT(("var_ncap"=[1]OUT_TransportEnergyCons!$B$4:$B$10000)*1,("-"=[1]OUT_TransportEnergyCons!$C$4:$C$10000)*1,ISNUMBER(SEARCH("tfh*hyb*DSL*",[1]OUT_TransportEnergyCons!$A$4:$A$10000))*1,[1]OUT_TransportEnergyCons!I$4:I$10000))*1000</f>
        <v>0</v>
      </c>
    </row>
    <row r="2227" spans="2:11" x14ac:dyDescent="0.35">
      <c r="B2227" s="5" t="str">
        <f t="shared" si="1312"/>
        <v>SPS2</v>
      </c>
      <c r="C2227" s="5" t="str">
        <f t="shared" si="1313"/>
        <v>CH</v>
      </c>
      <c r="D2227" t="s">
        <v>2374</v>
      </c>
      <c r="E2227" t="s">
        <v>2000</v>
      </c>
      <c r="F2227" s="1" cm="1">
        <f t="array" ref="F2227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(SUMPRODUCT(("var_ncap"=[1]OUT_TransportEnergyCons!$B$4:$B$10000)*1,("-"=[1]OUT_TransportEnergyCons!$C$4:$C$10000)*1,ISNUMBER(SEARCH("tfh*ice*nga*",[1]OUT_TransportEnergyCons!$A$4:$A$10000))*1,[1]OUT_TransportEnergyCons!E$4:E$10000))*1000</f>
        <v>1.70440352061914E-3</v>
      </c>
      <c r="H2227" s="1" cm="1">
        <f t="array" ref="H2227">(SUMPRODUCT(("var_ncap"=[1]OUT_TransportEnergyCons!$B$4:$B$10000)*1,("-"=[1]OUT_TransportEnergyCons!$C$4:$C$10000)*1,ISNUMBER(SEARCH("tfh*ice*nga*",[1]OUT_TransportEnergyCons!$A$4:$A$10000))*1,[1]OUT_TransportEnergyCons!F$4:F$10000))*1000</f>
        <v>4.57560333959594E-3</v>
      </c>
      <c r="I2227" s="1" cm="1">
        <f t="array" ref="I2227">(SUMPRODUCT(("var_ncap"=[1]OUT_TransportEnergyCons!$B$4:$B$10000)*1,("-"=[1]OUT_TransportEnergyCons!$C$4:$C$10000)*1,ISNUMBER(SEARCH("tfh*ice*nga*",[1]OUT_TransportEnergyCons!$A$4:$A$10000))*1,[1]OUT_TransportEnergyCons!G$4:G$10000))*1000</f>
        <v>1.2593498213169302E-2</v>
      </c>
      <c r="J2227" s="1" cm="1">
        <f t="array" ref="J2227">(SUMPRODUCT(("var_ncap"=[1]OUT_TransportEnergyCons!$B$4:$B$10000)*1,("-"=[1]OUT_TransportEnergyCons!$C$4:$C$10000)*1,ISNUMBER(SEARCH("tfh*ice*nga*",[1]OUT_TransportEnergyCons!$A$4:$A$10000))*1,[1]OUT_TransportEnergyCons!H$4:H$10000))*1000</f>
        <v>1.0522572132426699E-2</v>
      </c>
      <c r="K2227" s="1" cm="1">
        <f t="array" ref="K2227">(SUMPRODUCT(("var_ncap"=[1]OUT_TransportEnergyCons!$B$4:$B$10000)*1,("-"=[1]OUT_TransportEnergyCons!$C$4:$C$10000)*1,ISNUMBER(SEARCH("tfh*ice*nga*",[1]OUT_TransportEnergyCons!$A$4:$A$10000))*1,[1]OUT_TransportEnergyCons!I$4:I$10000))*1000</f>
        <v>0</v>
      </c>
    </row>
    <row r="2228" spans="2:11" x14ac:dyDescent="0.35">
      <c r="B2228" s="5" t="str">
        <f t="shared" si="1312"/>
        <v>SPS2</v>
      </c>
      <c r="C2228" s="5" t="str">
        <f t="shared" si="1313"/>
        <v>CH</v>
      </c>
      <c r="D2228" s="2" t="s">
        <v>2192</v>
      </c>
      <c r="E2228" s="2" t="s">
        <v>1859</v>
      </c>
      <c r="F2228" s="3">
        <f t="shared" ref="F2228:K2228" si="1317">SUM(F2229,F2248)</f>
        <v>1.5332564876535681E-4</v>
      </c>
      <c r="G2228" s="3">
        <f t="shared" si="1317"/>
        <v>0.81055047840429895</v>
      </c>
      <c r="H2228" s="3">
        <f t="shared" si="1317"/>
        <v>1.7337754841975259</v>
      </c>
      <c r="I2228" s="3">
        <f t="shared" si="1317"/>
        <v>1.5884170679263894</v>
      </c>
      <c r="J2228" s="3">
        <f t="shared" si="1317"/>
        <v>4.307753758213452</v>
      </c>
      <c r="K2228" s="3">
        <f t="shared" si="1317"/>
        <v>3.8195308846936156</v>
      </c>
    </row>
    <row r="2229" spans="2:11" x14ac:dyDescent="0.35">
      <c r="B2229" s="5" t="str">
        <f t="shared" si="1312"/>
        <v>SPS2</v>
      </c>
      <c r="C2229" s="5" t="str">
        <f t="shared" si="1313"/>
        <v>CH</v>
      </c>
      <c r="D2229" t="s">
        <v>2375</v>
      </c>
      <c r="E2229" t="str">
        <f>E2228</f>
        <v>GWth/yr.</v>
      </c>
      <c r="F2229" s="1">
        <f t="shared" ref="F2229:K2229" si="1318">SUM(F2230,F2233,F2235,F2238,F2240,F2242,F2244,F2246)</f>
        <v>1.2024462788872789E-4</v>
      </c>
      <c r="G2229" s="1">
        <f t="shared" si="1318"/>
        <v>0.653581780763003</v>
      </c>
      <c r="H2229" s="1">
        <f t="shared" si="1318"/>
        <v>1.5411339599760996</v>
      </c>
      <c r="I2229" s="1">
        <f t="shared" si="1318"/>
        <v>1.2692746130611383</v>
      </c>
      <c r="J2229" s="1">
        <f t="shared" si="1318"/>
        <v>3.3290279958013289</v>
      </c>
      <c r="K2229" s="1">
        <f t="shared" si="1318"/>
        <v>2.8331410950568965</v>
      </c>
    </row>
    <row r="2230" spans="2:11" x14ac:dyDescent="0.35">
      <c r="B2230" s="5" t="str">
        <f t="shared" si="1312"/>
        <v>SPS2</v>
      </c>
      <c r="C2230" s="5" t="str">
        <f t="shared" si="1313"/>
        <v>CH</v>
      </c>
      <c r="D2230" t="s">
        <v>2376</v>
      </c>
      <c r="E2230" t="str">
        <f>E2228</f>
        <v>GWth/yr.</v>
      </c>
      <c r="F2230" s="1">
        <f t="shared" ref="F2230:K2230" si="1319">SUM(F2231:F2232)</f>
        <v>4.0798589418792496E-6</v>
      </c>
      <c r="G2230" s="1">
        <f t="shared" si="1319"/>
        <v>0.27227693833860223</v>
      </c>
      <c r="H2230" s="1">
        <f t="shared" si="1319"/>
        <v>0.91548133112029273</v>
      </c>
      <c r="I2230" s="1">
        <f t="shared" si="1319"/>
        <v>0.6060477095079666</v>
      </c>
      <c r="J2230" s="1">
        <f t="shared" si="1319"/>
        <v>1.8984164992574615</v>
      </c>
      <c r="K2230" s="1">
        <f t="shared" si="1319"/>
        <v>2.0098061888622429</v>
      </c>
    </row>
    <row r="2231" spans="2:11" x14ac:dyDescent="0.35">
      <c r="B2231" s="5" t="str">
        <f t="shared" si="1312"/>
        <v>SPS2</v>
      </c>
      <c r="C2231" s="5" t="str">
        <f t="shared" si="1313"/>
        <v>CH</v>
      </c>
      <c r="D2231" t="s">
        <v>2377</v>
      </c>
      <c r="E2231" t="str">
        <f t="shared" ref="E2231:E2294" si="1320">E2230</f>
        <v>GWth/yr.</v>
      </c>
      <c r="F2231" s="1" cm="1">
        <f t="array" ref="F2231">SUMPRODUCT(([1]OUT_FinalEnergyCons!$B$4:$B$10000="var_ncap")*1,(ISNUMBER(SEARCH("RH*-SHELCBR",[1]OUT_FinalEnergyCons!$A$4:$A$10000)))*1,[1]OUT_FinalEnergyCons!D$4:D$10000)</f>
        <v>2.3315562955531229E-6</v>
      </c>
      <c r="G2231" s="1" cm="1">
        <f t="array" ref="G2231">SUMPRODUCT(([1]OUT_FinalEnergyCons!$B$4:$B$10000="var_ncap")*1,(ISNUMBER(SEARCH("RH*-SHELCBR",[1]OUT_FinalEnergyCons!$A$4:$A$10000)))*1,[1]OUT_FinalEnergyCons!E$4:E$10000)</f>
        <v>4.7513712205333847E-2</v>
      </c>
      <c r="H2231" s="1" cm="1">
        <f t="array" ref="H2231">SUMPRODUCT(([1]OUT_FinalEnergyCons!$B$4:$B$10000="var_ncap")*1,(ISNUMBER(SEARCH("RH*-SHELCBR",[1]OUT_FinalEnergyCons!$A$4:$A$10000)))*1,[1]OUT_FinalEnergyCons!F$4:F$10000)</f>
        <v>1.1689310158017541E-6</v>
      </c>
      <c r="I2231" s="1" cm="1">
        <f t="array" ref="I2231">SUMPRODUCT(([1]OUT_FinalEnergyCons!$B$4:$B$10000="var_ncap")*1,(ISNUMBER(SEARCH("RH*-SHELCBR",[1]OUT_FinalEnergyCons!$A$4:$A$10000)))*1,[1]OUT_FinalEnergyCons!G$4:G$10000)</f>
        <v>2.0923446989464327E-6</v>
      </c>
      <c r="J2231" s="1" cm="1">
        <f t="array" ref="J2231">SUMPRODUCT(([1]OUT_FinalEnergyCons!$B$4:$B$10000="var_ncap")*1,(ISNUMBER(SEARCH("RH*-SHELCBR",[1]OUT_FinalEnergyCons!$A$4:$A$10000)))*1,[1]OUT_FinalEnergyCons!H$4:H$10000)</f>
        <v>6.6657594373664393E-4</v>
      </c>
      <c r="K2231" s="1" cm="1">
        <f t="array" ref="K2231">SUMPRODUCT(([1]OUT_FinalEnergyCons!$B$4:$B$10000="var_ncap")*1,(ISNUMBER(SEARCH("RH*-SHELCBR",[1]OUT_FinalEnergyCons!$A$4:$A$10000)))*1,[1]OUT_FinalEnergyCons!I$4:I$10000)</f>
        <v>1.5104209851915629E-4</v>
      </c>
    </row>
    <row r="2232" spans="2:11" x14ac:dyDescent="0.35">
      <c r="B2232" s="5" t="str">
        <f t="shared" si="1312"/>
        <v>SPS2</v>
      </c>
      <c r="C2232" s="5" t="str">
        <f t="shared" si="1313"/>
        <v>CH</v>
      </c>
      <c r="D2232" t="s">
        <v>2378</v>
      </c>
      <c r="E2232" t="str">
        <f t="shared" si="1320"/>
        <v>GWth/yr.</v>
      </c>
      <c r="F2232" s="1" cm="1">
        <f t="array" ref="F2232">SUMPRODUCT(([1]OUT_FinalEnergyCons!$B$4:$B$10000="var_ncap")*1,ISNUMBER(SEARCH("RH*-SHELCHP",[1]OUT_FinalEnergyCons!$A$4:$A$10000))*1,[1]OUT_FinalEnergyCons!D$4:D$10000)</f>
        <v>1.7483026463261271E-6</v>
      </c>
      <c r="G2232" s="1" cm="1">
        <f t="array" ref="G2232">SUMPRODUCT(([1]OUT_FinalEnergyCons!$B$4:$B$10000="var_ncap")*1,ISNUMBER(SEARCH("RH*-SHELCHP",[1]OUT_FinalEnergyCons!$A$4:$A$10000))*1,[1]OUT_FinalEnergyCons!E$4:E$10000)</f>
        <v>0.22476322613326841</v>
      </c>
      <c r="H2232" s="1" cm="1">
        <f t="array" ref="H2232">SUMPRODUCT(([1]OUT_FinalEnergyCons!$B$4:$B$10000="var_ncap")*1,ISNUMBER(SEARCH("RH*-SHELCHP",[1]OUT_FinalEnergyCons!$A$4:$A$10000))*1,[1]OUT_FinalEnergyCons!F$4:F$10000)</f>
        <v>0.91548016218927697</v>
      </c>
      <c r="I2232" s="1" cm="1">
        <f t="array" ref="I2232">SUMPRODUCT(([1]OUT_FinalEnergyCons!$B$4:$B$10000="var_ncap")*1,ISNUMBER(SEARCH("RH*-SHELCHP",[1]OUT_FinalEnergyCons!$A$4:$A$10000))*1,[1]OUT_FinalEnergyCons!G$4:G$10000)</f>
        <v>0.60604561716326766</v>
      </c>
      <c r="J2232" s="1" cm="1">
        <f t="array" ref="J2232">SUMPRODUCT(([1]OUT_FinalEnergyCons!$B$4:$B$10000="var_ncap")*1,ISNUMBER(SEARCH("RH*-SHELCHP",[1]OUT_FinalEnergyCons!$A$4:$A$10000))*1,[1]OUT_FinalEnergyCons!H$4:H$10000)</f>
        <v>1.8977499233137249</v>
      </c>
      <c r="K2232" s="1" cm="1">
        <f t="array" ref="K2232">SUMPRODUCT(([1]OUT_FinalEnergyCons!$B$4:$B$10000="var_ncap")*1,ISNUMBER(SEARCH("RH*-SHELCHP",[1]OUT_FinalEnergyCons!$A$4:$A$10000))*1,[1]OUT_FinalEnergyCons!I$4:I$10000)</f>
        <v>2.0096551467637238</v>
      </c>
    </row>
    <row r="2233" spans="2:11" x14ac:dyDescent="0.35">
      <c r="B2233" s="5" t="str">
        <f t="shared" si="1312"/>
        <v>SPS2</v>
      </c>
      <c r="C2233" s="5" t="str">
        <f t="shared" si="1313"/>
        <v>CH</v>
      </c>
      <c r="D2233" t="s">
        <v>2379</v>
      </c>
      <c r="E2233" t="str">
        <f t="shared" si="1320"/>
        <v>GWth/yr.</v>
      </c>
      <c r="F2233" s="1">
        <f t="shared" ref="F2233:K2233" si="1321">F2234</f>
        <v>0</v>
      </c>
      <c r="G2233" s="1">
        <f t="shared" si="1321"/>
        <v>1.3888732650492965E-4</v>
      </c>
      <c r="H2233" s="1">
        <f t="shared" si="1321"/>
        <v>4.4547996025501156E-2</v>
      </c>
      <c r="I2233" s="1">
        <f t="shared" si="1321"/>
        <v>1.2596850623261621E-6</v>
      </c>
      <c r="J2233" s="1">
        <f t="shared" si="1321"/>
        <v>0.19775438313908361</v>
      </c>
      <c r="K2233" s="1">
        <f t="shared" si="1321"/>
        <v>7.1243268933852799E-7</v>
      </c>
    </row>
    <row r="2234" spans="2:11" x14ac:dyDescent="0.35">
      <c r="B2234" s="5" t="str">
        <f t="shared" si="1312"/>
        <v>SPS2</v>
      </c>
      <c r="C2234" s="5" t="str">
        <f t="shared" si="1313"/>
        <v>CH</v>
      </c>
      <c r="D2234" t="s">
        <v>2380</v>
      </c>
      <c r="E2234" t="str">
        <f t="shared" si="1320"/>
        <v>GWth/yr.</v>
      </c>
      <c r="F2234" s="1" cm="1">
        <f t="array" ref="F2234">SUMPRODUCT(([1]OUT_FinalEnergyCons!$B$4:$B$10000="var_ncap")*1, (ISNUMBER(SEARCH("RH*-SHLFOBR",[1]OUT_FinalEnergyCons!$A$4:$A$10000)))*1,[1]OUT_FinalEnergyCons!D$4:D$10000)</f>
        <v>0</v>
      </c>
      <c r="G2234" s="1" cm="1">
        <f t="array" ref="G2234">SUMPRODUCT(([1]OUT_FinalEnergyCons!$B$4:$B$10000="var_ncap")*1, (ISNUMBER(SEARCH("RH*-SHLFOBR",[1]OUT_FinalEnergyCons!$A$4:$A$10000)))*1,[1]OUT_FinalEnergyCons!E$4:E$10000)</f>
        <v>1.3888732650492965E-4</v>
      </c>
      <c r="H2234" s="1" cm="1">
        <f t="array" ref="H2234">SUMPRODUCT(([1]OUT_FinalEnergyCons!$B$4:$B$10000="var_ncap")*1, (ISNUMBER(SEARCH("RH*-SHLFOBR",[1]OUT_FinalEnergyCons!$A$4:$A$10000)))*1,[1]OUT_FinalEnergyCons!F$4:F$10000)</f>
        <v>4.4547996025501156E-2</v>
      </c>
      <c r="I2234" s="1" cm="1">
        <f t="array" ref="I2234">SUMPRODUCT(([1]OUT_FinalEnergyCons!$B$4:$B$10000="var_ncap")*1, (ISNUMBER(SEARCH("RH*-SHLFOBR",[1]OUT_FinalEnergyCons!$A$4:$A$10000)))*1,[1]OUT_FinalEnergyCons!G$4:G$10000)</f>
        <v>1.2596850623261621E-6</v>
      </c>
      <c r="J2234" s="1" cm="1">
        <f t="array" ref="J2234">SUMPRODUCT(([1]OUT_FinalEnergyCons!$B$4:$B$10000="var_ncap")*1, (ISNUMBER(SEARCH("RH*-SHLFOBR",[1]OUT_FinalEnergyCons!$A$4:$A$10000)))*1,[1]OUT_FinalEnergyCons!H$4:H$10000)</f>
        <v>0.19775438313908361</v>
      </c>
      <c r="K2234" s="1" cm="1">
        <f t="array" ref="K2234">SUMPRODUCT(([1]OUT_FinalEnergyCons!$B$4:$B$10000="var_ncap")*1, (ISNUMBER(SEARCH("RH*-SHLFOBR",[1]OUT_FinalEnergyCons!$A$4:$A$10000)))*1,[1]OUT_FinalEnergyCons!I$4:I$10000)</f>
        <v>7.1243268933852799E-7</v>
      </c>
    </row>
    <row r="2235" spans="2:11" x14ac:dyDescent="0.35">
      <c r="B2235" s="5" t="str">
        <f t="shared" si="1312"/>
        <v>SPS2</v>
      </c>
      <c r="C2235" s="5" t="str">
        <f t="shared" si="1313"/>
        <v>CH</v>
      </c>
      <c r="D2235" t="s">
        <v>2381</v>
      </c>
      <c r="E2235" t="str">
        <f t="shared" si="1320"/>
        <v>GWth/yr.</v>
      </c>
      <c r="F2235" s="1">
        <f t="shared" ref="F2235:K2235" si="1322">SUM(F2236:F2237)</f>
        <v>3.2952674896809002E-7</v>
      </c>
      <c r="G2235" s="1">
        <f t="shared" si="1322"/>
        <v>0.21812340245013126</v>
      </c>
      <c r="H2235" s="1">
        <f t="shared" si="1322"/>
        <v>0.54954536958851952</v>
      </c>
      <c r="I2235" s="1">
        <f t="shared" si="1322"/>
        <v>0.66264607776672479</v>
      </c>
      <c r="J2235" s="1">
        <f t="shared" si="1322"/>
        <v>1.0582583614399379</v>
      </c>
      <c r="K2235" s="1">
        <f t="shared" si="1322"/>
        <v>0.78419460889848047</v>
      </c>
    </row>
    <row r="2236" spans="2:11" x14ac:dyDescent="0.35">
      <c r="B2236" s="5" t="str">
        <f t="shared" si="1312"/>
        <v>SPS2</v>
      </c>
      <c r="C2236" s="5" t="str">
        <f t="shared" si="1313"/>
        <v>CH</v>
      </c>
      <c r="D2236" t="s">
        <v>2382</v>
      </c>
      <c r="E2236" t="str">
        <f t="shared" si="1320"/>
        <v>GWth/yr.</v>
      </c>
      <c r="F2236" s="1" cm="1">
        <f t="array" ref="F2236">SUMPRODUCT(([1]OUT_FinalEnergyCons!$B$4:$B$10000="var_ncap")*1, (ISNUMBER(SEARCH("RH*-SHNGABR",[1]OUT_FinalEnergyCons!$A$4:$A$10000)))*1,[1]OUT_FinalEnergyCons!D$4:D$10000)</f>
        <v>0</v>
      </c>
      <c r="G2236" s="1" cm="1">
        <f t="array" ref="G2236">SUMPRODUCT(([1]OUT_FinalEnergyCons!$B$4:$B$10000="var_ncap")*1, (ISNUMBER(SEARCH("RH*-SHNGABR",[1]OUT_FinalEnergyCons!$A$4:$A$10000)))*1,[1]OUT_FinalEnergyCons!E$4:E$10000)</f>
        <v>0.21811749103740574</v>
      </c>
      <c r="H2236" s="1" cm="1">
        <f t="array" ref="H2236">SUMPRODUCT(([1]OUT_FinalEnergyCons!$B$4:$B$10000="var_ncap")*1, (ISNUMBER(SEARCH("RH*-SHNGABR",[1]OUT_FinalEnergyCons!$A$4:$A$10000)))*1,[1]OUT_FinalEnergyCons!F$4:F$10000)</f>
        <v>0.15342119959384656</v>
      </c>
      <c r="I2236" s="1" cm="1">
        <f t="array" ref="I2236">SUMPRODUCT(([1]OUT_FinalEnergyCons!$B$4:$B$10000="var_ncap")*1, (ISNUMBER(SEARCH("RH*-SHNGABR",[1]OUT_FinalEnergyCons!$A$4:$A$10000)))*1,[1]OUT_FinalEnergyCons!G$4:G$10000)</f>
        <v>8.1511725892292228E-6</v>
      </c>
      <c r="J2236" s="1" cm="1">
        <f t="array" ref="J2236">SUMPRODUCT(([1]OUT_FinalEnergyCons!$B$4:$B$10000="var_ncap")*1, (ISNUMBER(SEARCH("RH*-SHNGABR",[1]OUT_FinalEnergyCons!$A$4:$A$10000)))*1,[1]OUT_FinalEnergyCons!H$4:H$10000)</f>
        <v>0.24889906953346186</v>
      </c>
      <c r="K2236" s="1" cm="1">
        <f t="array" ref="K2236">SUMPRODUCT(([1]OUT_FinalEnergyCons!$B$4:$B$10000="var_ncap")*1, (ISNUMBER(SEARCH("RH*-SHNGABR",[1]OUT_FinalEnergyCons!$A$4:$A$10000)))*1,[1]OUT_FinalEnergyCons!I$4:I$10000)</f>
        <v>5.8010132028251764E-6</v>
      </c>
    </row>
    <row r="2237" spans="2:11" x14ac:dyDescent="0.35">
      <c r="B2237" s="5" t="str">
        <f t="shared" si="1312"/>
        <v>SPS2</v>
      </c>
      <c r="C2237" s="5" t="str">
        <f t="shared" si="1313"/>
        <v>CH</v>
      </c>
      <c r="D2237" t="s">
        <v>2383</v>
      </c>
      <c r="E2237" t="str">
        <f t="shared" si="1320"/>
        <v>GWth/yr.</v>
      </c>
      <c r="F2237" s="1" cm="1">
        <f t="array" ref="F2237">SUMPRODUCT(([1]OUT_FinalEnergyCons!$B$4:$B$10000="var_ncap")*1,ISNUMBER(SEARCH("RH*-SHngahp",[1]OUT_FinalEnergyCons!$A$4:$A$10000))*1,[1]OUT_FinalEnergyCons!D$4:D$10000)</f>
        <v>3.2952674896809002E-7</v>
      </c>
      <c r="G2237" s="1" cm="1">
        <f t="array" ref="G2237">SUMPRODUCT(([1]OUT_FinalEnergyCons!$B$4:$B$10000="var_ncap")*1,ISNUMBER(SEARCH("RH*-SHngahp",[1]OUT_FinalEnergyCons!$A$4:$A$10000))*1,[1]OUT_FinalEnergyCons!E$4:E$10000)</f>
        <v>5.911412725519311E-6</v>
      </c>
      <c r="H2237" s="1" cm="1">
        <f t="array" ref="H2237">SUMPRODUCT(([1]OUT_FinalEnergyCons!$B$4:$B$10000="var_ncap")*1,ISNUMBER(SEARCH("RH*-SHngahp",[1]OUT_FinalEnergyCons!$A$4:$A$10000))*1,[1]OUT_FinalEnergyCons!F$4:F$10000)</f>
        <v>0.39612416999467293</v>
      </c>
      <c r="I2237" s="1" cm="1">
        <f t="array" ref="I2237">SUMPRODUCT(([1]OUT_FinalEnergyCons!$B$4:$B$10000="var_ncap")*1,ISNUMBER(SEARCH("RH*-SHngahp",[1]OUT_FinalEnergyCons!$A$4:$A$10000))*1,[1]OUT_FinalEnergyCons!G$4:G$10000)</f>
        <v>0.66263792659413556</v>
      </c>
      <c r="J2237" s="1" cm="1">
        <f t="array" ref="J2237">SUMPRODUCT(([1]OUT_FinalEnergyCons!$B$4:$B$10000="var_ncap")*1,ISNUMBER(SEARCH("RH*-SHngahp",[1]OUT_FinalEnergyCons!$A$4:$A$10000))*1,[1]OUT_FinalEnergyCons!H$4:H$10000)</f>
        <v>0.80935929190647593</v>
      </c>
      <c r="K2237" s="1" cm="1">
        <f t="array" ref="K2237">SUMPRODUCT(([1]OUT_FinalEnergyCons!$B$4:$B$10000="var_ncap")*1,ISNUMBER(SEARCH("RH*-SHngahp",[1]OUT_FinalEnergyCons!$A$4:$A$10000))*1,[1]OUT_FinalEnergyCons!I$4:I$10000)</f>
        <v>0.78418880788527767</v>
      </c>
    </row>
    <row r="2238" spans="2:11" x14ac:dyDescent="0.35">
      <c r="B2238" s="5" t="str">
        <f t="shared" ref="B2238:B2301" si="1323">B2237</f>
        <v>SPS2</v>
      </c>
      <c r="C2238" s="5" t="str">
        <f t="shared" ref="C2238:C2301" si="1324">C2237</f>
        <v>CH</v>
      </c>
      <c r="D2238" t="s">
        <v>2384</v>
      </c>
      <c r="E2238" t="str">
        <f t="shared" si="1320"/>
        <v>GWth/yr.</v>
      </c>
      <c r="F2238" s="1">
        <f t="shared" ref="F2238:K2238" si="1325">F2239</f>
        <v>0</v>
      </c>
      <c r="G2238" s="1">
        <f t="shared" si="1325"/>
        <v>0</v>
      </c>
      <c r="H2238" s="1">
        <f t="shared" si="1325"/>
        <v>0</v>
      </c>
      <c r="I2238" s="1">
        <f t="shared" si="1325"/>
        <v>0</v>
      </c>
      <c r="J2238" s="1">
        <f t="shared" si="1325"/>
        <v>0</v>
      </c>
      <c r="K2238" s="1">
        <f t="shared" si="1325"/>
        <v>0</v>
      </c>
    </row>
    <row r="2239" spans="2:11" x14ac:dyDescent="0.35">
      <c r="B2239" s="5" t="str">
        <f t="shared" si="1323"/>
        <v>SPS2</v>
      </c>
      <c r="C2239" s="5" t="str">
        <f t="shared" si="1324"/>
        <v>CH</v>
      </c>
      <c r="D2239" t="s">
        <v>2385</v>
      </c>
      <c r="E2239" t="str">
        <f t="shared" si="1320"/>
        <v>GWth/yr.</v>
      </c>
      <c r="F2239" s="1" cm="1">
        <f t="array" ref="F2239">SUMPRODUCT(([1]OUT_FinalEnergyCons!$B$4:$B$10000="var_ncap")*1, (ISNUMBER(SEARCH("RH*-SHCOABR",[1]OUT_FinalEnergyCons!$A$4:$A$10000)))*1,[1]OUT_FinalEnergyCons!D$4:D$10000)</f>
        <v>0</v>
      </c>
      <c r="G2239" s="1" cm="1">
        <f t="array" ref="G2239">SUMPRODUCT(([1]OUT_FinalEnergyCons!$B$4:$B$10000="var_ncap")*1, (ISNUMBER(SEARCH("RH*-SHCOABR",[1]OUT_FinalEnergyCons!$A$4:$A$10000)))*1,[1]OUT_FinalEnergyCons!E$4:E$10000)</f>
        <v>0</v>
      </c>
      <c r="H2239" s="1" cm="1">
        <f t="array" ref="H2239">SUMPRODUCT(([1]OUT_FinalEnergyCons!$B$4:$B$10000="var_ncap")*1, (ISNUMBER(SEARCH("RH*-SHCOABR",[1]OUT_FinalEnergyCons!$A$4:$A$10000)))*1,[1]OUT_FinalEnergyCons!F$4:F$10000)</f>
        <v>0</v>
      </c>
      <c r="I2239" s="1" cm="1">
        <f t="array" ref="I2239">SUMPRODUCT(([1]OUT_FinalEnergyCons!$B$4:$B$10000="var_ncap")*1, (ISNUMBER(SEARCH("RH*-SHCOABR",[1]OUT_FinalEnergyCons!$A$4:$A$10000)))*1,[1]OUT_FinalEnergyCons!G$4:G$10000)</f>
        <v>0</v>
      </c>
      <c r="J2239" s="1" cm="1">
        <f t="array" ref="J2239">SUMPRODUCT(([1]OUT_FinalEnergyCons!$B$4:$B$10000="var_ncap")*1, (ISNUMBER(SEARCH("RH*-SHCOABR",[1]OUT_FinalEnergyCons!$A$4:$A$10000)))*1,[1]OUT_FinalEnergyCons!H$4:H$10000)</f>
        <v>0</v>
      </c>
      <c r="K2239" s="1" cm="1">
        <f t="array" ref="K2239">SUMPRODUCT(([1]OUT_FinalEnergyCons!$B$4:$B$10000="var_ncap")*1, (ISNUMBER(SEARCH("RH*-SHCOABR",[1]OUT_FinalEnergyCons!$A$4:$A$10000)))*1,[1]OUT_FinalEnergyCons!I$4:I$10000)</f>
        <v>0</v>
      </c>
    </row>
    <row r="2240" spans="2:11" x14ac:dyDescent="0.35">
      <c r="B2240" s="5" t="str">
        <f t="shared" si="1323"/>
        <v>SPS2</v>
      </c>
      <c r="C2240" s="5" t="str">
        <f t="shared" si="1324"/>
        <v>CH</v>
      </c>
      <c r="D2240" t="s">
        <v>2386</v>
      </c>
      <c r="E2240" t="str">
        <f t="shared" si="1320"/>
        <v>GWth/yr.</v>
      </c>
      <c r="F2240" s="1">
        <f t="shared" ref="F2240:K2240" si="1326">F2241</f>
        <v>6.3545621942476499E-5</v>
      </c>
      <c r="G2240" s="1">
        <f t="shared" si="1326"/>
        <v>0.10419237172897049</v>
      </c>
      <c r="H2240" s="1">
        <f t="shared" si="1326"/>
        <v>3.1269682486826073E-2</v>
      </c>
      <c r="I2240" s="1">
        <f t="shared" si="1326"/>
        <v>1.9049155590928242E-6</v>
      </c>
      <c r="J2240" s="1">
        <f t="shared" si="1326"/>
        <v>0.14626796804703912</v>
      </c>
      <c r="K2240" s="1">
        <f t="shared" si="1326"/>
        <v>3.1338636190587299E-2</v>
      </c>
    </row>
    <row r="2241" spans="2:11" x14ac:dyDescent="0.35">
      <c r="B2241" s="5" t="str">
        <f t="shared" si="1323"/>
        <v>SPS2</v>
      </c>
      <c r="C2241" s="5" t="str">
        <f t="shared" si="1324"/>
        <v>CH</v>
      </c>
      <c r="D2241" t="s">
        <v>2387</v>
      </c>
      <c r="E2241" t="str">
        <f t="shared" si="1320"/>
        <v>GWth/yr.</v>
      </c>
      <c r="F2241" s="1" cm="1">
        <f t="array" ref="F2241">SUMPRODUCT(([1]OUT_FinalEnergyCons!$B$4:$B$10000="var_ncap")*1, (ISNUMBER(SEARCH("RH*-SHWODBR",[1]OUT_FinalEnergyCons!$A$4:$A$10000)))*1,[1]OUT_FinalEnergyCons!D$4:D$10000)</f>
        <v>6.3545621942476499E-5</v>
      </c>
      <c r="G2241" s="1" cm="1">
        <f t="array" ref="G2241">SUMPRODUCT(([1]OUT_FinalEnergyCons!$B$4:$B$10000="var_ncap")*1, (ISNUMBER(SEARCH("RH*-SHWODBR",[1]OUT_FinalEnergyCons!$A$4:$A$10000)))*1,[1]OUT_FinalEnergyCons!E$4:E$10000)</f>
        <v>0.10419237172897049</v>
      </c>
      <c r="H2241" s="1" cm="1">
        <f t="array" ref="H2241">SUMPRODUCT(([1]OUT_FinalEnergyCons!$B$4:$B$10000="var_ncap")*1, (ISNUMBER(SEARCH("RH*-SHWODBR",[1]OUT_FinalEnergyCons!$A$4:$A$10000)))*1,[1]OUT_FinalEnergyCons!F$4:F$10000)</f>
        <v>3.1269682486826073E-2</v>
      </c>
      <c r="I2241" s="1" cm="1">
        <f t="array" ref="I2241">SUMPRODUCT(([1]OUT_FinalEnergyCons!$B$4:$B$10000="var_ncap")*1, (ISNUMBER(SEARCH("RH*-SHWODBR",[1]OUT_FinalEnergyCons!$A$4:$A$10000)))*1,[1]OUT_FinalEnergyCons!G$4:G$10000)</f>
        <v>1.9049155590928242E-6</v>
      </c>
      <c r="J2241" s="1" cm="1">
        <f t="array" ref="J2241">SUMPRODUCT(([1]OUT_FinalEnergyCons!$B$4:$B$10000="var_ncap")*1, (ISNUMBER(SEARCH("RH*-SHWODBR",[1]OUT_FinalEnergyCons!$A$4:$A$10000)))*1,[1]OUT_FinalEnergyCons!H$4:H$10000)</f>
        <v>0.14626796804703912</v>
      </c>
      <c r="K2241" s="1" cm="1">
        <f t="array" ref="K2241">SUMPRODUCT(([1]OUT_FinalEnergyCons!$B$4:$B$10000="var_ncap")*1, (ISNUMBER(SEARCH("RH*-SHWODBR",[1]OUT_FinalEnergyCons!$A$4:$A$10000)))*1,[1]OUT_FinalEnergyCons!I$4:I$10000)</f>
        <v>3.1338636190587299E-2</v>
      </c>
    </row>
    <row r="2242" spans="2:11" x14ac:dyDescent="0.35">
      <c r="B2242" s="5" t="str">
        <f t="shared" si="1323"/>
        <v>SPS2</v>
      </c>
      <c r="C2242" s="5" t="str">
        <f t="shared" si="1324"/>
        <v>CH</v>
      </c>
      <c r="D2242" t="s">
        <v>2388</v>
      </c>
      <c r="E2242" t="str">
        <f t="shared" si="1320"/>
        <v>GWth/yr.</v>
      </c>
      <c r="F2242" s="1">
        <f t="shared" ref="F2242:K2242" si="1327">F2243</f>
        <v>7.0464181851228496E-6</v>
      </c>
      <c r="G2242" s="1">
        <f t="shared" si="1327"/>
        <v>3.6021361777049996E-2</v>
      </c>
      <c r="H2242" s="1">
        <f t="shared" si="1327"/>
        <v>1.78382771180083E-4</v>
      </c>
      <c r="I2242" s="1">
        <f t="shared" si="1327"/>
        <v>4.2517818750269156E-4</v>
      </c>
      <c r="J2242" s="1">
        <f t="shared" si="1327"/>
        <v>2.2972976269294006E-2</v>
      </c>
      <c r="K2242" s="1">
        <f t="shared" si="1327"/>
        <v>6.8198168663806376E-3</v>
      </c>
    </row>
    <row r="2243" spans="2:11" x14ac:dyDescent="0.35">
      <c r="B2243" s="5" t="str">
        <f t="shared" si="1323"/>
        <v>SPS2</v>
      </c>
      <c r="C2243" s="5" t="str">
        <f t="shared" si="1324"/>
        <v>CH</v>
      </c>
      <c r="D2243" t="s">
        <v>2389</v>
      </c>
      <c r="E2243" t="str">
        <f t="shared" si="1320"/>
        <v>GWth/yr.</v>
      </c>
      <c r="F2243" s="1" cm="1">
        <f t="array" ref="F2243">SUMPRODUCT(([1]OUT_FinalEnergyCons!$B$4:$B$10000="var_ncap")*1, (ISNUMBER(SEARCH("RH*-SHPLTBR",[1]OUT_FinalEnergyCons!$A$4:$A$10000)))*1,[1]OUT_FinalEnergyCons!D$4:D$10000)</f>
        <v>7.0464181851228496E-6</v>
      </c>
      <c r="G2243" s="1" cm="1">
        <f t="array" ref="G2243">SUMPRODUCT(([1]OUT_FinalEnergyCons!$B$4:$B$10000="var_ncap")*1, (ISNUMBER(SEARCH("RH*-SHPLTBR",[1]OUT_FinalEnergyCons!$A$4:$A$10000)))*1,[1]OUT_FinalEnergyCons!E$4:E$10000)</f>
        <v>3.6021361777049996E-2</v>
      </c>
      <c r="H2243" s="1" cm="1">
        <f t="array" ref="H2243">SUMPRODUCT(([1]OUT_FinalEnergyCons!$B$4:$B$10000="var_ncap")*1, (ISNUMBER(SEARCH("RH*-SHPLTBR",[1]OUT_FinalEnergyCons!$A$4:$A$10000)))*1,[1]OUT_FinalEnergyCons!F$4:F$10000)</f>
        <v>1.78382771180083E-4</v>
      </c>
      <c r="I2243" s="1" cm="1">
        <f t="array" ref="I2243">SUMPRODUCT(([1]OUT_FinalEnergyCons!$B$4:$B$10000="var_ncap")*1, (ISNUMBER(SEARCH("RH*-SHPLTBR",[1]OUT_FinalEnergyCons!$A$4:$A$10000)))*1,[1]OUT_FinalEnergyCons!G$4:G$10000)</f>
        <v>4.2517818750269156E-4</v>
      </c>
      <c r="J2243" s="1" cm="1">
        <f t="array" ref="J2243">SUMPRODUCT(([1]OUT_FinalEnergyCons!$B$4:$B$10000="var_ncap")*1, (ISNUMBER(SEARCH("RH*-SHPLTBR",[1]OUT_FinalEnergyCons!$A$4:$A$10000)))*1,[1]OUT_FinalEnergyCons!H$4:H$10000)</f>
        <v>2.2972976269294006E-2</v>
      </c>
      <c r="K2243" s="1" cm="1">
        <f t="array" ref="K2243">SUMPRODUCT(([1]OUT_FinalEnergyCons!$B$4:$B$10000="var_ncap")*1, (ISNUMBER(SEARCH("RH*-SHPLTBR",[1]OUT_FinalEnergyCons!$A$4:$A$10000)))*1,[1]OUT_FinalEnergyCons!I$4:I$10000)</f>
        <v>6.8198168663806376E-3</v>
      </c>
    </row>
    <row r="2244" spans="2:11" x14ac:dyDescent="0.35">
      <c r="B2244" s="5" t="str">
        <f t="shared" si="1323"/>
        <v>SPS2</v>
      </c>
      <c r="C2244" s="5" t="str">
        <f t="shared" si="1324"/>
        <v>CH</v>
      </c>
      <c r="D2244" t="s">
        <v>2390</v>
      </c>
      <c r="E2244" t="str">
        <f t="shared" si="1320"/>
        <v>GWth/yr.</v>
      </c>
      <c r="F2244" s="1">
        <f t="shared" ref="F2244:K2244" si="1328">F2245</f>
        <v>4.5243202070281203E-5</v>
      </c>
      <c r="G2244" s="1">
        <f t="shared" si="1328"/>
        <v>2.282881914174421E-2</v>
      </c>
      <c r="H2244" s="1">
        <f t="shared" si="1328"/>
        <v>1.1119798377987003E-4</v>
      </c>
      <c r="I2244" s="1">
        <f t="shared" si="1328"/>
        <v>1.5248299832292274E-4</v>
      </c>
      <c r="J2244" s="1">
        <f t="shared" si="1328"/>
        <v>5.357807648513015E-3</v>
      </c>
      <c r="K2244" s="1">
        <f t="shared" si="1328"/>
        <v>9.8113180651622695E-4</v>
      </c>
    </row>
    <row r="2245" spans="2:11" x14ac:dyDescent="0.35">
      <c r="B2245" s="5" t="str">
        <f t="shared" si="1323"/>
        <v>SPS2</v>
      </c>
      <c r="C2245" s="5" t="str">
        <f t="shared" si="1324"/>
        <v>CH</v>
      </c>
      <c r="D2245" t="s">
        <v>2391</v>
      </c>
      <c r="E2245" t="str">
        <f t="shared" si="1320"/>
        <v>GWth/yr.</v>
      </c>
      <c r="F2245" s="1" cm="1">
        <f t="array" ref="F2245">SUMPRODUCT(([1]OUT_FinalEnergyCons!$B$4:$B$10000="var_ncap")*1, (ISNUMBER(SEARCH("RH*-SHSOLBR",[1]OUT_FinalEnergyCons!$A$4:$A$10000)))*1,[1]OUT_FinalEnergyCons!D$4:D$10000)</f>
        <v>4.5243202070281203E-5</v>
      </c>
      <c r="G2245" s="1" cm="1">
        <f t="array" ref="G2245">SUMPRODUCT(([1]OUT_FinalEnergyCons!$B$4:$B$10000="var_ncap")*1, (ISNUMBER(SEARCH("RH*-SHSOLBR",[1]OUT_FinalEnergyCons!$A$4:$A$10000)))*1,[1]OUT_FinalEnergyCons!E$4:E$10000)</f>
        <v>2.282881914174421E-2</v>
      </c>
      <c r="H2245" s="1" cm="1">
        <f t="array" ref="H2245">SUMPRODUCT(([1]OUT_FinalEnergyCons!$B$4:$B$10000="var_ncap")*1, (ISNUMBER(SEARCH("RH*-SHSOLBR",[1]OUT_FinalEnergyCons!$A$4:$A$10000)))*1,[1]OUT_FinalEnergyCons!F$4:F$10000)</f>
        <v>1.1119798377987003E-4</v>
      </c>
      <c r="I2245" s="1" cm="1">
        <f t="array" ref="I2245">SUMPRODUCT(([1]OUT_FinalEnergyCons!$B$4:$B$10000="var_ncap")*1, (ISNUMBER(SEARCH("RH*-SHSOLBR",[1]OUT_FinalEnergyCons!$A$4:$A$10000)))*1,[1]OUT_FinalEnergyCons!G$4:G$10000)</f>
        <v>1.5248299832292274E-4</v>
      </c>
      <c r="J2245" s="1" cm="1">
        <f t="array" ref="J2245">SUMPRODUCT(([1]OUT_FinalEnergyCons!$B$4:$B$10000="var_ncap")*1, (ISNUMBER(SEARCH("RH*-SHSOLBR",[1]OUT_FinalEnergyCons!$A$4:$A$10000)))*1,[1]OUT_FinalEnergyCons!H$4:H$10000)</f>
        <v>5.357807648513015E-3</v>
      </c>
      <c r="K2245" s="1" cm="1">
        <f t="array" ref="K2245">SUMPRODUCT(([1]OUT_FinalEnergyCons!$B$4:$B$10000="var_ncap")*1, (ISNUMBER(SEARCH("RH*-SHSOLBR",[1]OUT_FinalEnergyCons!$A$4:$A$10000)))*1,[1]OUT_FinalEnergyCons!I$4:I$10000)</f>
        <v>9.8113180651622695E-4</v>
      </c>
    </row>
    <row r="2246" spans="2:11" x14ac:dyDescent="0.35">
      <c r="B2246" s="5" t="str">
        <f t="shared" si="1323"/>
        <v>SPS2</v>
      </c>
      <c r="C2246" s="5" t="str">
        <f t="shared" si="1324"/>
        <v>CH</v>
      </c>
      <c r="D2246" t="s">
        <v>2392</v>
      </c>
      <c r="E2246" t="str">
        <f t="shared" si="1320"/>
        <v>GWth/yr.</v>
      </c>
      <c r="F2246" s="1">
        <f t="shared" ref="F2246:K2246" si="1329">F2247</f>
        <v>0</v>
      </c>
      <c r="G2246" s="1">
        <f t="shared" si="1329"/>
        <v>0</v>
      </c>
      <c r="H2246" s="1">
        <f t="shared" si="1329"/>
        <v>0</v>
      </c>
      <c r="I2246" s="1">
        <f t="shared" si="1329"/>
        <v>0</v>
      </c>
      <c r="J2246" s="1">
        <f t="shared" si="1329"/>
        <v>0</v>
      </c>
      <c r="K2246" s="1">
        <f t="shared" si="1329"/>
        <v>0</v>
      </c>
    </row>
    <row r="2247" spans="2:11" x14ac:dyDescent="0.35">
      <c r="B2247" s="5" t="str">
        <f t="shared" si="1323"/>
        <v>SPS2</v>
      </c>
      <c r="C2247" s="5" t="str">
        <f t="shared" si="1324"/>
        <v>CH</v>
      </c>
      <c r="D2247" t="s">
        <v>2393</v>
      </c>
      <c r="E2247" t="str">
        <f t="shared" si="1320"/>
        <v>GWth/yr.</v>
      </c>
      <c r="F2247" s="1" cm="1">
        <f t="array" ref="F2247">SUMPRODUCT(([1]OUT_FinalEnergyCons!$B$4:$B$10000="var_ncap")*1, (ISNUMBER(SEARCH("RH*-SHH2BR",[1]OUT_FinalEnergyCons!$A$4:$A$10000)))*1,[1]OUT_FinalEnergyCons!D$4:D$10000)</f>
        <v>0</v>
      </c>
      <c r="G2247" s="1" cm="1">
        <f t="array" ref="G2247">SUMPRODUCT(([1]OUT_FinalEnergyCons!$B$4:$B$10000="var_ncap")*1, (ISNUMBER(SEARCH("RH*-SHH2BR",[1]OUT_FinalEnergyCons!$A$4:$A$10000)))*1,[1]OUT_FinalEnergyCons!E$4:E$10000)</f>
        <v>0</v>
      </c>
      <c r="H2247" s="1" cm="1">
        <f t="array" ref="H2247">SUMPRODUCT(([1]OUT_FinalEnergyCons!$B$4:$B$10000="var_ncap")*1, (ISNUMBER(SEARCH("RH*-SHH2BR",[1]OUT_FinalEnergyCons!$A$4:$A$10000)))*1,[1]OUT_FinalEnergyCons!F$4:F$10000)</f>
        <v>0</v>
      </c>
      <c r="I2247" s="1" cm="1">
        <f t="array" ref="I2247">SUMPRODUCT(([1]OUT_FinalEnergyCons!$B$4:$B$10000="var_ncap")*1, (ISNUMBER(SEARCH("RH*-SHH2BR",[1]OUT_FinalEnergyCons!$A$4:$A$10000)))*1,[1]OUT_FinalEnergyCons!G$4:G$10000)</f>
        <v>0</v>
      </c>
      <c r="J2247" s="1" cm="1">
        <f t="array" ref="J2247">SUMPRODUCT(([1]OUT_FinalEnergyCons!$B$4:$B$10000="var_ncap")*1, (ISNUMBER(SEARCH("RH*-SHH2BR",[1]OUT_FinalEnergyCons!$A$4:$A$10000)))*1,[1]OUT_FinalEnergyCons!H$4:H$10000)</f>
        <v>0</v>
      </c>
      <c r="K2247" s="1" cm="1">
        <f t="array" ref="K2247">SUMPRODUCT(([1]OUT_FinalEnergyCons!$B$4:$B$10000="var_ncap")*1, (ISNUMBER(SEARCH("RH*-SHH2BR",[1]OUT_FinalEnergyCons!$A$4:$A$10000)))*1,[1]OUT_FinalEnergyCons!I$4:I$10000)</f>
        <v>0</v>
      </c>
    </row>
    <row r="2248" spans="2:11" x14ac:dyDescent="0.35">
      <c r="B2248" s="5" t="str">
        <f t="shared" si="1323"/>
        <v>SPS2</v>
      </c>
      <c r="C2248" s="5" t="str">
        <f t="shared" si="1324"/>
        <v>CH</v>
      </c>
      <c r="D2248" t="s">
        <v>2394</v>
      </c>
      <c r="E2248" t="str">
        <f t="shared" si="1320"/>
        <v>GWth/yr.</v>
      </c>
      <c r="F2248" s="1">
        <f t="shared" ref="F2248:K2248" si="1330">SUM(F2249,F2252,F2254,F2257,F2259,F2261,F2263,F2265)</f>
        <v>3.3081020876628921E-5</v>
      </c>
      <c r="G2248" s="1">
        <f t="shared" si="1330"/>
        <v>0.15696869764129595</v>
      </c>
      <c r="H2248" s="1">
        <f t="shared" si="1330"/>
        <v>0.19264152422142633</v>
      </c>
      <c r="I2248" s="1">
        <f t="shared" si="1330"/>
        <v>0.31914245486525111</v>
      </c>
      <c r="J2248" s="1">
        <f t="shared" si="1330"/>
        <v>0.97872576241212283</v>
      </c>
      <c r="K2248" s="1">
        <f t="shared" si="1330"/>
        <v>0.98638978963671908</v>
      </c>
    </row>
    <row r="2249" spans="2:11" x14ac:dyDescent="0.35">
      <c r="B2249" s="5" t="str">
        <f t="shared" si="1323"/>
        <v>SPS2</v>
      </c>
      <c r="C2249" s="5" t="str">
        <f t="shared" si="1324"/>
        <v>CH</v>
      </c>
      <c r="D2249" t="s">
        <v>2395</v>
      </c>
      <c r="E2249" t="str">
        <f t="shared" si="1320"/>
        <v>GWth/yr.</v>
      </c>
      <c r="F2249" s="1">
        <f t="shared" ref="F2249:K2249" si="1331">SUM(F2250:F2251)</f>
        <v>3.3081020876628921E-5</v>
      </c>
      <c r="G2249" s="1">
        <f t="shared" si="1331"/>
        <v>6.7445193303534101E-2</v>
      </c>
      <c r="H2249" s="1">
        <f t="shared" si="1331"/>
        <v>7.9139365524273669E-2</v>
      </c>
      <c r="I2249" s="1">
        <f t="shared" si="1331"/>
        <v>0.16903983090650709</v>
      </c>
      <c r="J2249" s="1">
        <f t="shared" si="1331"/>
        <v>0.48909678298585402</v>
      </c>
      <c r="K2249" s="1">
        <f t="shared" si="1331"/>
        <v>0.61099358875872201</v>
      </c>
    </row>
    <row r="2250" spans="2:11" x14ac:dyDescent="0.35">
      <c r="B2250" s="5" t="str">
        <f t="shared" si="1323"/>
        <v>SPS2</v>
      </c>
      <c r="C2250" s="5" t="str">
        <f t="shared" si="1324"/>
        <v>CH</v>
      </c>
      <c r="D2250" t="s">
        <v>2396</v>
      </c>
      <c r="E2250" t="str">
        <f t="shared" si="1320"/>
        <v>GWth/yr.</v>
      </c>
      <c r="F2250" s="1" cm="1">
        <f t="array" ref="F2250">SUMPRODUCT(([1]OUT_FinalEnergyCons!$B$4:$B$10000="var_ncap")*1,(ISNUMBER(SEARCH("RH*-WHELCBR",[1]OUT_FinalEnergyCons!$A$4:$A$10000)))*1,[1]OUT_FinalEnergyCons!D$4:D$10000)</f>
        <v>2.9878504458125599E-5</v>
      </c>
      <c r="G2250" s="1" cm="1">
        <f t="array" ref="G2250">SUMPRODUCT(([1]OUT_FinalEnergyCons!$B$4:$B$10000="var_ncap")*1,(ISNUMBER(SEARCH("RH*-WHELCBR",[1]OUT_FinalEnergyCons!$A$4:$A$10000)))*1,[1]OUT_FinalEnergyCons!E$4:E$10000)</f>
        <v>3.4653548670727299E-2</v>
      </c>
      <c r="H2250" s="1" cm="1">
        <f t="array" ref="H2250">SUMPRODUCT(([1]OUT_FinalEnergyCons!$B$4:$B$10000="var_ncap")*1,(ISNUMBER(SEARCH("RH*-WHELCBR",[1]OUT_FinalEnergyCons!$A$4:$A$10000)))*1,[1]OUT_FinalEnergyCons!F$4:F$10000)</f>
        <v>7.27077205158911E-7</v>
      </c>
      <c r="I2250" s="1" cm="1">
        <f t="array" ref="I2250">SUMPRODUCT(([1]OUT_FinalEnergyCons!$B$4:$B$10000="var_ncap")*1,(ISNUMBER(SEARCH("RH*-WHELCBR",[1]OUT_FinalEnergyCons!$A$4:$A$10000)))*1,[1]OUT_FinalEnergyCons!G$4:G$10000)</f>
        <v>1.27356700007318E-6</v>
      </c>
      <c r="J2250" s="1" cm="1">
        <f t="array" ref="J2250">SUMPRODUCT(([1]OUT_FinalEnergyCons!$B$4:$B$10000="var_ncap")*1,(ISNUMBER(SEARCH("RH*-WHELCBR",[1]OUT_FinalEnergyCons!$A$4:$A$10000)))*1,[1]OUT_FinalEnergyCons!H$4:H$10000)</f>
        <v>0.12991788374669799</v>
      </c>
      <c r="K2250" s="1" cm="1">
        <f t="array" ref="K2250">SUMPRODUCT(([1]OUT_FinalEnergyCons!$B$4:$B$10000="var_ncap")*1,(ISNUMBER(SEARCH("RH*-WHELCBR",[1]OUT_FinalEnergyCons!$A$4:$A$10000)))*1,[1]OUT_FinalEnergyCons!I$4:I$10000)</f>
        <v>1.40089882739918E-5</v>
      </c>
    </row>
    <row r="2251" spans="2:11" x14ac:dyDescent="0.35">
      <c r="B2251" s="5" t="str">
        <f t="shared" si="1323"/>
        <v>SPS2</v>
      </c>
      <c r="C2251" s="5" t="str">
        <f t="shared" si="1324"/>
        <v>CH</v>
      </c>
      <c r="D2251" t="s">
        <v>2397</v>
      </c>
      <c r="E2251" t="str">
        <f t="shared" si="1320"/>
        <v>GWth/yr.</v>
      </c>
      <c r="F2251" s="1" cm="1">
        <f t="array" ref="F2251">SUMPRODUCT(([1]OUT_FinalEnergyCons!$B$4:$B$10000="var_ncap")*1,ISNUMBER(SEARCH("RH*-WHELCHP",[1]OUT_FinalEnergyCons!$A$4:$A$10000))*1,[1]OUT_FinalEnergyCons!D$4:D$10000)</f>
        <v>3.20251641850332E-6</v>
      </c>
      <c r="G2251" s="1" cm="1">
        <f t="array" ref="G2251">SUMPRODUCT(([1]OUT_FinalEnergyCons!$B$4:$B$10000="var_ncap")*1,ISNUMBER(SEARCH("RH*-WHELCHP",[1]OUT_FinalEnergyCons!$A$4:$A$10000))*1,[1]OUT_FinalEnergyCons!E$4:E$10000)</f>
        <v>3.2791644632806802E-2</v>
      </c>
      <c r="H2251" s="1" cm="1">
        <f t="array" ref="H2251">SUMPRODUCT(([1]OUT_FinalEnergyCons!$B$4:$B$10000="var_ncap")*1,ISNUMBER(SEARCH("RH*-WHELCHP",[1]OUT_FinalEnergyCons!$A$4:$A$10000))*1,[1]OUT_FinalEnergyCons!F$4:F$10000)</f>
        <v>7.9138638447068504E-2</v>
      </c>
      <c r="I2251" s="1" cm="1">
        <f t="array" ref="I2251">SUMPRODUCT(([1]OUT_FinalEnergyCons!$B$4:$B$10000="var_ncap")*1,ISNUMBER(SEARCH("RH*-WHELCHP",[1]OUT_FinalEnergyCons!$A$4:$A$10000))*1,[1]OUT_FinalEnergyCons!G$4:G$10000)</f>
        <v>0.16903855733950701</v>
      </c>
      <c r="J2251" s="1" cm="1">
        <f t="array" ref="J2251">SUMPRODUCT(([1]OUT_FinalEnergyCons!$B$4:$B$10000="var_ncap")*1,ISNUMBER(SEARCH("RH*-WHELCHP",[1]OUT_FinalEnergyCons!$A$4:$A$10000))*1,[1]OUT_FinalEnergyCons!H$4:H$10000)</f>
        <v>0.35917889923915602</v>
      </c>
      <c r="K2251" s="1" cm="1">
        <f t="array" ref="K2251">SUMPRODUCT(([1]OUT_FinalEnergyCons!$B$4:$B$10000="var_ncap")*1,ISNUMBER(SEARCH("RH*-WHELCHP",[1]OUT_FinalEnergyCons!$A$4:$A$10000))*1,[1]OUT_FinalEnergyCons!I$4:I$10000)</f>
        <v>0.61097957977044803</v>
      </c>
    </row>
    <row r="2252" spans="2:11" x14ac:dyDescent="0.35">
      <c r="B2252" s="5" t="str">
        <f t="shared" si="1323"/>
        <v>SPS2</v>
      </c>
      <c r="C2252" s="5" t="str">
        <f t="shared" si="1324"/>
        <v>CH</v>
      </c>
      <c r="D2252" t="s">
        <v>2398</v>
      </c>
      <c r="E2252" t="str">
        <f t="shared" si="1320"/>
        <v>GWth/yr.</v>
      </c>
      <c r="F2252" s="1">
        <f t="shared" ref="F2252:K2252" si="1332">F2253</f>
        <v>0</v>
      </c>
      <c r="G2252" s="1">
        <f t="shared" si="1332"/>
        <v>6.18663034986962E-7</v>
      </c>
      <c r="H2252" s="1">
        <f t="shared" si="1332"/>
        <v>3.16704198171303E-7</v>
      </c>
      <c r="I2252" s="1">
        <f t="shared" si="1332"/>
        <v>6.8526148210876704E-7</v>
      </c>
      <c r="J2252" s="1">
        <f t="shared" si="1332"/>
        <v>7.3140663173615304E-3</v>
      </c>
      <c r="K2252" s="1">
        <f t="shared" si="1332"/>
        <v>0</v>
      </c>
    </row>
    <row r="2253" spans="2:11" x14ac:dyDescent="0.35">
      <c r="B2253" s="5" t="str">
        <f t="shared" si="1323"/>
        <v>SPS2</v>
      </c>
      <c r="C2253" s="5" t="str">
        <f t="shared" si="1324"/>
        <v>CH</v>
      </c>
      <c r="D2253" t="s">
        <v>2399</v>
      </c>
      <c r="E2253" t="str">
        <f t="shared" si="1320"/>
        <v>GWth/yr.</v>
      </c>
      <c r="F2253" s="1" cm="1">
        <f t="array" ref="F2253">SUMPRODUCT(([1]OUT_FinalEnergyCons!$B$4:$B$10000="var_ncap")*1, (ISNUMBER(SEARCH("RH*-WHLFOBR",[1]OUT_FinalEnergyCons!$A$4:$A$10000)))*1,[1]OUT_FinalEnergyCons!D$4:D$10000)</f>
        <v>0</v>
      </c>
      <c r="G2253" s="1" cm="1">
        <f t="array" ref="G2253">SUMPRODUCT(([1]OUT_FinalEnergyCons!$B$4:$B$10000="var_ncap")*1, (ISNUMBER(SEARCH("RH*-WHLFOBR",[1]OUT_FinalEnergyCons!$A$4:$A$10000)))*1,[1]OUT_FinalEnergyCons!E$4:E$10000)</f>
        <v>6.18663034986962E-7</v>
      </c>
      <c r="H2253" s="1" cm="1">
        <f t="array" ref="H2253">SUMPRODUCT(([1]OUT_FinalEnergyCons!$B$4:$B$10000="var_ncap")*1, (ISNUMBER(SEARCH("RH*-WHLFOBR",[1]OUT_FinalEnergyCons!$A$4:$A$10000)))*1,[1]OUT_FinalEnergyCons!F$4:F$10000)</f>
        <v>3.16704198171303E-7</v>
      </c>
      <c r="I2253" s="1" cm="1">
        <f t="array" ref="I2253">SUMPRODUCT(([1]OUT_FinalEnergyCons!$B$4:$B$10000="var_ncap")*1, (ISNUMBER(SEARCH("RH*-WHLFOBR",[1]OUT_FinalEnergyCons!$A$4:$A$10000)))*1,[1]OUT_FinalEnergyCons!G$4:G$10000)</f>
        <v>6.8526148210876704E-7</v>
      </c>
      <c r="J2253" s="1" cm="1">
        <f t="array" ref="J2253">SUMPRODUCT(([1]OUT_FinalEnergyCons!$B$4:$B$10000="var_ncap")*1, (ISNUMBER(SEARCH("RH*-WHLFOBR",[1]OUT_FinalEnergyCons!$A$4:$A$10000)))*1,[1]OUT_FinalEnergyCons!H$4:H$10000)</f>
        <v>7.3140663173615304E-3</v>
      </c>
      <c r="K2253" s="1" cm="1">
        <f t="array" ref="K2253">SUMPRODUCT(([1]OUT_FinalEnergyCons!$B$4:$B$10000="var_ncap")*1, (ISNUMBER(SEARCH("RH*-WHLFOBR",[1]OUT_FinalEnergyCons!$A$4:$A$10000)))*1,[1]OUT_FinalEnergyCons!I$4:I$10000)</f>
        <v>0</v>
      </c>
    </row>
    <row r="2254" spans="2:11" x14ac:dyDescent="0.35">
      <c r="B2254" s="5" t="str">
        <f t="shared" si="1323"/>
        <v>SPS2</v>
      </c>
      <c r="C2254" s="5" t="str">
        <f t="shared" si="1324"/>
        <v>CH</v>
      </c>
      <c r="D2254" t="s">
        <v>2400</v>
      </c>
      <c r="E2254" t="str">
        <f t="shared" si="1320"/>
        <v>GWth/yr.</v>
      </c>
      <c r="F2254" s="1">
        <f t="shared" ref="F2254:K2254" si="1333">SUM(F2255:F2256)</f>
        <v>0</v>
      </c>
      <c r="G2254" s="1">
        <f t="shared" si="1333"/>
        <v>1.741765382503858E-6</v>
      </c>
      <c r="H2254" s="1">
        <f t="shared" si="1333"/>
        <v>7.3231379023749071E-2</v>
      </c>
      <c r="I2254" s="1">
        <f t="shared" si="1333"/>
        <v>0.14870828728859126</v>
      </c>
      <c r="J2254" s="1">
        <f t="shared" si="1333"/>
        <v>0.26110757326852529</v>
      </c>
      <c r="K2254" s="1">
        <f t="shared" si="1333"/>
        <v>0.27264387917256455</v>
      </c>
    </row>
    <row r="2255" spans="2:11" x14ac:dyDescent="0.35">
      <c r="B2255" s="5" t="str">
        <f t="shared" si="1323"/>
        <v>SPS2</v>
      </c>
      <c r="C2255" s="5" t="str">
        <f t="shared" si="1324"/>
        <v>CH</v>
      </c>
      <c r="D2255" t="s">
        <v>2401</v>
      </c>
      <c r="E2255" t="str">
        <f t="shared" si="1320"/>
        <v>GWth/yr.</v>
      </c>
      <c r="F2255" s="1" cm="1">
        <f t="array" ref="F2255">SUMPRODUCT(([1]OUT_FinalEnergyCons!$B$4:$B$10000="var_ncap")*1, (ISNUMBER(SEARCH("RH*-WHNGABR",[1]OUT_FinalEnergyCons!$A$4:$A$10000)))*1,[1]OUT_FinalEnergyCons!D$4:D$10000)</f>
        <v>0</v>
      </c>
      <c r="G2255" s="1" cm="1">
        <f t="array" ref="G2255">SUMPRODUCT(([1]OUT_FinalEnergyCons!$B$4:$B$10000="var_ncap")*1, (ISNUMBER(SEARCH("RH*-WHNGABR",[1]OUT_FinalEnergyCons!$A$4:$A$10000)))*1,[1]OUT_FinalEnergyCons!E$4:E$10000)</f>
        <v>7.6346177216982397E-7</v>
      </c>
      <c r="H2255" s="1" cm="1">
        <f t="array" ref="H2255">SUMPRODUCT(([1]OUT_FinalEnergyCons!$B$4:$B$10000="var_ncap")*1, (ISNUMBER(SEARCH("RH*-WHNGABR",[1]OUT_FinalEnergyCons!$A$4:$A$10000)))*1,[1]OUT_FinalEnergyCons!F$4:F$10000)</f>
        <v>5.6313297877113704E-7</v>
      </c>
      <c r="I2255" s="1" cm="1">
        <f t="array" ref="I2255">SUMPRODUCT(([1]OUT_FinalEnergyCons!$B$4:$B$10000="var_ncap")*1, (ISNUMBER(SEARCH("RH*-WHNGABR",[1]OUT_FinalEnergyCons!$A$4:$A$10000)))*1,[1]OUT_FinalEnergyCons!G$4:G$10000)</f>
        <v>8.8541100227645199E-7</v>
      </c>
      <c r="J2255" s="1" cm="1">
        <f t="array" ref="J2255">SUMPRODUCT(([1]OUT_FinalEnergyCons!$B$4:$B$10000="var_ncap")*1, (ISNUMBER(SEARCH("RH*-WHNGABR",[1]OUT_FinalEnergyCons!$A$4:$A$10000)))*1,[1]OUT_FinalEnergyCons!H$4:H$10000)</f>
        <v>5.0032841391077297E-2</v>
      </c>
      <c r="K2255" s="1" cm="1">
        <f t="array" ref="K2255">SUMPRODUCT(([1]OUT_FinalEnergyCons!$B$4:$B$10000="var_ncap")*1, (ISNUMBER(SEARCH("RH*-WHNGABR",[1]OUT_FinalEnergyCons!$A$4:$A$10000)))*1,[1]OUT_FinalEnergyCons!I$4:I$10000)</f>
        <v>1.5213255435488199E-6</v>
      </c>
    </row>
    <row r="2256" spans="2:11" x14ac:dyDescent="0.35">
      <c r="B2256" s="5" t="str">
        <f t="shared" si="1323"/>
        <v>SPS2</v>
      </c>
      <c r="C2256" s="5" t="str">
        <f t="shared" si="1324"/>
        <v>CH</v>
      </c>
      <c r="D2256" t="s">
        <v>2402</v>
      </c>
      <c r="E2256" t="str">
        <f t="shared" si="1320"/>
        <v>GWth/yr.</v>
      </c>
      <c r="F2256" s="1" cm="1">
        <f t="array" ref="F2256">SUMPRODUCT(([1]OUT_FinalEnergyCons!$B$4:$B$10000="var_ncap")*1,ISNUMBER(SEARCH("RH*-WHngahp",[1]OUT_FinalEnergyCons!$A$4:$A$10000))*1,[1]OUT_FinalEnergyCons!D$4:D$10000)</f>
        <v>0</v>
      </c>
      <c r="G2256" s="1" cm="1">
        <f t="array" ref="G2256">SUMPRODUCT(([1]OUT_FinalEnergyCons!$B$4:$B$10000="var_ncap")*1,ISNUMBER(SEARCH("RH*-WHngahp",[1]OUT_FinalEnergyCons!$A$4:$A$10000))*1,[1]OUT_FinalEnergyCons!E$4:E$10000)</f>
        <v>9.7830361033403399E-7</v>
      </c>
      <c r="H2256" s="1" cm="1">
        <f t="array" ref="H2256">SUMPRODUCT(([1]OUT_FinalEnergyCons!$B$4:$B$10000="var_ncap")*1,ISNUMBER(SEARCH("RH*-WHngahp",[1]OUT_FinalEnergyCons!$A$4:$A$10000))*1,[1]OUT_FinalEnergyCons!F$4:F$10000)</f>
        <v>7.3230815890770296E-2</v>
      </c>
      <c r="I2256" s="1" cm="1">
        <f t="array" ref="I2256">SUMPRODUCT(([1]OUT_FinalEnergyCons!$B$4:$B$10000="var_ncap")*1,ISNUMBER(SEARCH("RH*-WHngahp",[1]OUT_FinalEnergyCons!$A$4:$A$10000))*1,[1]OUT_FinalEnergyCons!G$4:G$10000)</f>
        <v>0.14870740187758899</v>
      </c>
      <c r="J2256" s="1" cm="1">
        <f t="array" ref="J2256">SUMPRODUCT(([1]OUT_FinalEnergyCons!$B$4:$B$10000="var_ncap")*1,ISNUMBER(SEARCH("RH*-WHngahp",[1]OUT_FinalEnergyCons!$A$4:$A$10000))*1,[1]OUT_FinalEnergyCons!H$4:H$10000)</f>
        <v>0.21107473187744799</v>
      </c>
      <c r="K2256" s="1" cm="1">
        <f t="array" ref="K2256">SUMPRODUCT(([1]OUT_FinalEnergyCons!$B$4:$B$10000="var_ncap")*1,ISNUMBER(SEARCH("RH*-WHngahp",[1]OUT_FinalEnergyCons!$A$4:$A$10000))*1,[1]OUT_FinalEnergyCons!I$4:I$10000)</f>
        <v>0.27264235784702101</v>
      </c>
    </row>
    <row r="2257" spans="2:11" x14ac:dyDescent="0.35">
      <c r="B2257" s="5" t="str">
        <f t="shared" si="1323"/>
        <v>SPS2</v>
      </c>
      <c r="C2257" s="5" t="str">
        <f t="shared" si="1324"/>
        <v>CH</v>
      </c>
      <c r="D2257" t="s">
        <v>2403</v>
      </c>
      <c r="E2257" t="str">
        <f t="shared" si="1320"/>
        <v>GWth/yr.</v>
      </c>
      <c r="F2257" s="1">
        <f t="shared" ref="F2257:K2257" si="1334">F2258</f>
        <v>0</v>
      </c>
      <c r="G2257" s="1">
        <f t="shared" si="1334"/>
        <v>0</v>
      </c>
      <c r="H2257" s="1">
        <f t="shared" si="1334"/>
        <v>0</v>
      </c>
      <c r="I2257" s="1">
        <f t="shared" si="1334"/>
        <v>0</v>
      </c>
      <c r="J2257" s="1">
        <f t="shared" si="1334"/>
        <v>0</v>
      </c>
      <c r="K2257" s="1">
        <f t="shared" si="1334"/>
        <v>0</v>
      </c>
    </row>
    <row r="2258" spans="2:11" x14ac:dyDescent="0.35">
      <c r="B2258" s="5" t="str">
        <f t="shared" si="1323"/>
        <v>SPS2</v>
      </c>
      <c r="C2258" s="5" t="str">
        <f t="shared" si="1324"/>
        <v>CH</v>
      </c>
      <c r="D2258" t="s">
        <v>2404</v>
      </c>
      <c r="E2258" t="str">
        <f t="shared" si="1320"/>
        <v>GWth/yr.</v>
      </c>
      <c r="F2258" s="1" cm="1">
        <f t="array" ref="F2258">SUMPRODUCT(([1]OUT_FinalEnergyCons!$B$4:$B$10000="var_ncap")*1, (ISNUMBER(SEARCH("RH*-WHCOABR",[1]OUT_FinalEnergyCons!$A$4:$A$10000)))*1,[1]OUT_FinalEnergyCons!D$4:D$10000)</f>
        <v>0</v>
      </c>
      <c r="G2258" s="1" cm="1">
        <f t="array" ref="G2258">SUMPRODUCT(([1]OUT_FinalEnergyCons!$B$4:$B$10000="var_ncap")*1, (ISNUMBER(SEARCH("RH*-WHCOABR",[1]OUT_FinalEnergyCons!$A$4:$A$10000)))*1,[1]OUT_FinalEnergyCons!E$4:E$10000)</f>
        <v>0</v>
      </c>
      <c r="H2258" s="1" cm="1">
        <f t="array" ref="H2258">SUMPRODUCT(([1]OUT_FinalEnergyCons!$B$4:$B$10000="var_ncap")*1, (ISNUMBER(SEARCH("RH*-WHCOABR",[1]OUT_FinalEnergyCons!$A$4:$A$10000)))*1,[1]OUT_FinalEnergyCons!F$4:F$10000)</f>
        <v>0</v>
      </c>
      <c r="I2258" s="1" cm="1">
        <f t="array" ref="I2258">SUMPRODUCT(([1]OUT_FinalEnergyCons!$B$4:$B$10000="var_ncap")*1, (ISNUMBER(SEARCH("RH*-WHCOABR",[1]OUT_FinalEnergyCons!$A$4:$A$10000)))*1,[1]OUT_FinalEnergyCons!G$4:G$10000)</f>
        <v>0</v>
      </c>
      <c r="J2258" s="1" cm="1">
        <f t="array" ref="J2258">SUMPRODUCT(([1]OUT_FinalEnergyCons!$B$4:$B$10000="var_ncap")*1, (ISNUMBER(SEARCH("RH*-WHCOABR",[1]OUT_FinalEnergyCons!$A$4:$A$10000)))*1,[1]OUT_FinalEnergyCons!H$4:H$10000)</f>
        <v>0</v>
      </c>
      <c r="K2258" s="1" cm="1">
        <f t="array" ref="K2258">SUMPRODUCT(([1]OUT_FinalEnergyCons!$B$4:$B$10000="var_ncap")*1, (ISNUMBER(SEARCH("RH*-WHCOABR",[1]OUT_FinalEnergyCons!$A$4:$A$10000)))*1,[1]OUT_FinalEnergyCons!I$4:I$10000)</f>
        <v>0</v>
      </c>
    </row>
    <row r="2259" spans="2:11" x14ac:dyDescent="0.35">
      <c r="B2259" s="5" t="str">
        <f t="shared" si="1323"/>
        <v>SPS2</v>
      </c>
      <c r="C2259" s="5" t="str">
        <f t="shared" si="1324"/>
        <v>CH</v>
      </c>
      <c r="D2259" t="s">
        <v>2405</v>
      </c>
      <c r="E2259" t="str">
        <f t="shared" si="1320"/>
        <v>GWth/yr.</v>
      </c>
      <c r="F2259" s="1">
        <f t="shared" ref="F2259:K2259" si="1335">F2260</f>
        <v>0</v>
      </c>
      <c r="G2259" s="1">
        <f t="shared" si="1335"/>
        <v>5.3862816570415702E-3</v>
      </c>
      <c r="H2259" s="1">
        <f t="shared" si="1335"/>
        <v>4.0268245576224201E-2</v>
      </c>
      <c r="I2259" s="1">
        <f t="shared" si="1335"/>
        <v>1.3852320301533899E-3</v>
      </c>
      <c r="J2259" s="1">
        <f t="shared" si="1335"/>
        <v>4.7800276273641903E-2</v>
      </c>
      <c r="K2259" s="1">
        <f t="shared" si="1335"/>
        <v>1.65317529953928E-2</v>
      </c>
    </row>
    <row r="2260" spans="2:11" x14ac:dyDescent="0.35">
      <c r="B2260" s="5" t="str">
        <f t="shared" si="1323"/>
        <v>SPS2</v>
      </c>
      <c r="C2260" s="5" t="str">
        <f t="shared" si="1324"/>
        <v>CH</v>
      </c>
      <c r="D2260" t="s">
        <v>2406</v>
      </c>
      <c r="E2260" t="str">
        <f t="shared" si="1320"/>
        <v>GWth/yr.</v>
      </c>
      <c r="F2260" s="1" cm="1">
        <f t="array" ref="F2260">SUMPRODUCT(([1]OUT_FinalEnergyCons!$B$4:$B$10000="var_ncap")*1, (ISNUMBER(SEARCH("RH*-WHWODBR",[1]OUT_FinalEnergyCons!$A$4:$A$10000)))*1,[1]OUT_FinalEnergyCons!D$4:D$10000)</f>
        <v>0</v>
      </c>
      <c r="G2260" s="1" cm="1">
        <f t="array" ref="G2260">SUMPRODUCT(([1]OUT_FinalEnergyCons!$B$4:$B$10000="var_ncap")*1, (ISNUMBER(SEARCH("RH*-WHWODBR",[1]OUT_FinalEnergyCons!$A$4:$A$10000)))*1,[1]OUT_FinalEnergyCons!E$4:E$10000)</f>
        <v>5.3862816570415702E-3</v>
      </c>
      <c r="H2260" s="1" cm="1">
        <f t="array" ref="H2260">SUMPRODUCT(([1]OUT_FinalEnergyCons!$B$4:$B$10000="var_ncap")*1, (ISNUMBER(SEARCH("RH*-WHWODBR",[1]OUT_FinalEnergyCons!$A$4:$A$10000)))*1,[1]OUT_FinalEnergyCons!F$4:F$10000)</f>
        <v>4.0268245576224201E-2</v>
      </c>
      <c r="I2260" s="1" cm="1">
        <f t="array" ref="I2260">SUMPRODUCT(([1]OUT_FinalEnergyCons!$B$4:$B$10000="var_ncap")*1, (ISNUMBER(SEARCH("RH*-WHWODBR",[1]OUT_FinalEnergyCons!$A$4:$A$10000)))*1,[1]OUT_FinalEnergyCons!G$4:G$10000)</f>
        <v>1.3852320301533899E-3</v>
      </c>
      <c r="J2260" s="1" cm="1">
        <f t="array" ref="J2260">SUMPRODUCT(([1]OUT_FinalEnergyCons!$B$4:$B$10000="var_ncap")*1, (ISNUMBER(SEARCH("RH*-WHWODBR",[1]OUT_FinalEnergyCons!$A$4:$A$10000)))*1,[1]OUT_FinalEnergyCons!H$4:H$10000)</f>
        <v>4.7800276273641903E-2</v>
      </c>
      <c r="K2260" s="1" cm="1">
        <f t="array" ref="K2260">SUMPRODUCT(([1]OUT_FinalEnergyCons!$B$4:$B$10000="var_ncap")*1, (ISNUMBER(SEARCH("RH*-WHWODBR",[1]OUT_FinalEnergyCons!$A$4:$A$10000)))*1,[1]OUT_FinalEnergyCons!I$4:I$10000)</f>
        <v>1.65317529953928E-2</v>
      </c>
    </row>
    <row r="2261" spans="2:11" x14ac:dyDescent="0.35">
      <c r="B2261" s="5" t="str">
        <f t="shared" si="1323"/>
        <v>SPS2</v>
      </c>
      <c r="C2261" s="5" t="str">
        <f t="shared" si="1324"/>
        <v>CH</v>
      </c>
      <c r="D2261" t="s">
        <v>2407</v>
      </c>
      <c r="E2261" t="str">
        <f t="shared" si="1320"/>
        <v>GWth/yr.</v>
      </c>
      <c r="F2261" s="1">
        <f t="shared" ref="F2261:K2261" si="1336">F2262</f>
        <v>0</v>
      </c>
      <c r="G2261" s="1">
        <f t="shared" si="1336"/>
        <v>1.9621524824476101E-3</v>
      </c>
      <c r="H2261" s="1">
        <f t="shared" si="1336"/>
        <v>3.3204334954456201E-7</v>
      </c>
      <c r="I2261" s="1">
        <f t="shared" si="1336"/>
        <v>3.2649837473658002E-6</v>
      </c>
      <c r="J2261" s="1">
        <f t="shared" si="1336"/>
        <v>4.4535083596501102E-3</v>
      </c>
      <c r="K2261" s="1">
        <f t="shared" si="1336"/>
        <v>4.03040662713448E-3</v>
      </c>
    </row>
    <row r="2262" spans="2:11" x14ac:dyDescent="0.35">
      <c r="B2262" s="5" t="str">
        <f t="shared" si="1323"/>
        <v>SPS2</v>
      </c>
      <c r="C2262" s="5" t="str">
        <f t="shared" si="1324"/>
        <v>CH</v>
      </c>
      <c r="D2262" t="s">
        <v>2408</v>
      </c>
      <c r="E2262" t="str">
        <f t="shared" si="1320"/>
        <v>GWth/yr.</v>
      </c>
      <c r="F2262" s="1" cm="1">
        <f t="array" ref="F2262">SUMPRODUCT(([1]OUT_FinalEnergyCons!$B$4:$B$10000="var_ncap")*1, (ISNUMBER(SEARCH("RH*-WHPLTBR",[1]OUT_FinalEnergyCons!$A$4:$A$10000)))*1,[1]OUT_FinalEnergyCons!D$4:D$10000)</f>
        <v>0</v>
      </c>
      <c r="G2262" s="1" cm="1">
        <f t="array" ref="G2262">SUMPRODUCT(([1]OUT_FinalEnergyCons!$B$4:$B$10000="var_ncap")*1, (ISNUMBER(SEARCH("RH*-WHPLTBR",[1]OUT_FinalEnergyCons!$A$4:$A$10000)))*1,[1]OUT_FinalEnergyCons!E$4:E$10000)</f>
        <v>1.9621524824476101E-3</v>
      </c>
      <c r="H2262" s="1" cm="1">
        <f t="array" ref="H2262">SUMPRODUCT(([1]OUT_FinalEnergyCons!$B$4:$B$10000="var_ncap")*1, (ISNUMBER(SEARCH("RH*-WHPLTBR",[1]OUT_FinalEnergyCons!$A$4:$A$10000)))*1,[1]OUT_FinalEnergyCons!F$4:F$10000)</f>
        <v>3.3204334954456201E-7</v>
      </c>
      <c r="I2262" s="1" cm="1">
        <f t="array" ref="I2262">SUMPRODUCT(([1]OUT_FinalEnergyCons!$B$4:$B$10000="var_ncap")*1, (ISNUMBER(SEARCH("RH*-WHPLTBR",[1]OUT_FinalEnergyCons!$A$4:$A$10000)))*1,[1]OUT_FinalEnergyCons!G$4:G$10000)</f>
        <v>3.2649837473658002E-6</v>
      </c>
      <c r="J2262" s="1" cm="1">
        <f t="array" ref="J2262">SUMPRODUCT(([1]OUT_FinalEnergyCons!$B$4:$B$10000="var_ncap")*1, (ISNUMBER(SEARCH("RH*-WHPLTBR",[1]OUT_FinalEnergyCons!$A$4:$A$10000)))*1,[1]OUT_FinalEnergyCons!H$4:H$10000)</f>
        <v>4.4535083596501102E-3</v>
      </c>
      <c r="K2262" s="1" cm="1">
        <f t="array" ref="K2262">SUMPRODUCT(([1]OUT_FinalEnergyCons!$B$4:$B$10000="var_ncap")*1, (ISNUMBER(SEARCH("RH*-WHPLTBR",[1]OUT_FinalEnergyCons!$A$4:$A$10000)))*1,[1]OUT_FinalEnergyCons!I$4:I$10000)</f>
        <v>4.03040662713448E-3</v>
      </c>
    </row>
    <row r="2263" spans="2:11" x14ac:dyDescent="0.35">
      <c r="B2263" s="5" t="str">
        <f t="shared" si="1323"/>
        <v>SPS2</v>
      </c>
      <c r="C2263" s="5" t="str">
        <f t="shared" si="1324"/>
        <v>CH</v>
      </c>
      <c r="D2263" t="s">
        <v>2409</v>
      </c>
      <c r="E2263" t="str">
        <f t="shared" si="1320"/>
        <v>GWth/yr.</v>
      </c>
      <c r="F2263" s="1">
        <f t="shared" ref="F2263:K2263" si="1337">F2264</f>
        <v>0</v>
      </c>
      <c r="G2263" s="1">
        <f t="shared" si="1337"/>
        <v>8.2172709769855204E-2</v>
      </c>
      <c r="H2263" s="1">
        <f t="shared" si="1337"/>
        <v>1.88534963170537E-6</v>
      </c>
      <c r="I2263" s="1">
        <f t="shared" si="1337"/>
        <v>5.1543947698709702E-6</v>
      </c>
      <c r="J2263" s="1">
        <f t="shared" si="1337"/>
        <v>0.16895355520708999</v>
      </c>
      <c r="K2263" s="1">
        <f t="shared" si="1337"/>
        <v>8.2190162082905194E-2</v>
      </c>
    </row>
    <row r="2264" spans="2:11" x14ac:dyDescent="0.35">
      <c r="B2264" s="5" t="str">
        <f t="shared" si="1323"/>
        <v>SPS2</v>
      </c>
      <c r="C2264" s="5" t="str">
        <f t="shared" si="1324"/>
        <v>CH</v>
      </c>
      <c r="D2264" t="s">
        <v>2410</v>
      </c>
      <c r="E2264" t="str">
        <f t="shared" si="1320"/>
        <v>GWth/yr.</v>
      </c>
      <c r="F2264" s="1" cm="1">
        <f t="array" ref="F2264">SUMPRODUCT(([1]OUT_FinalEnergyCons!$B$4:$B$10000="var_ncap")*1, (ISNUMBER(SEARCH("RH*-WHSOLBR",[1]OUT_FinalEnergyCons!$A$4:$A$10000)))*1,[1]OUT_FinalEnergyCons!D$4:D$10000)</f>
        <v>0</v>
      </c>
      <c r="G2264" s="1" cm="1">
        <f t="array" ref="G2264">SUMPRODUCT(([1]OUT_FinalEnergyCons!$B$4:$B$10000="var_ncap")*1, (ISNUMBER(SEARCH("RH*-WHSOLBR",[1]OUT_FinalEnergyCons!$A$4:$A$10000)))*1,[1]OUT_FinalEnergyCons!E$4:E$10000)</f>
        <v>8.2172709769855204E-2</v>
      </c>
      <c r="H2264" s="1" cm="1">
        <f t="array" ref="H2264">SUMPRODUCT(([1]OUT_FinalEnergyCons!$B$4:$B$10000="var_ncap")*1, (ISNUMBER(SEARCH("RH*-WHSOLBR",[1]OUT_FinalEnergyCons!$A$4:$A$10000)))*1,[1]OUT_FinalEnergyCons!F$4:F$10000)</f>
        <v>1.88534963170537E-6</v>
      </c>
      <c r="I2264" s="1" cm="1">
        <f t="array" ref="I2264">SUMPRODUCT(([1]OUT_FinalEnergyCons!$B$4:$B$10000="var_ncap")*1, (ISNUMBER(SEARCH("RH*-WHSOLBR",[1]OUT_FinalEnergyCons!$A$4:$A$10000)))*1,[1]OUT_FinalEnergyCons!G$4:G$10000)</f>
        <v>5.1543947698709702E-6</v>
      </c>
      <c r="J2264" s="1" cm="1">
        <f t="array" ref="J2264">SUMPRODUCT(([1]OUT_FinalEnergyCons!$B$4:$B$10000="var_ncap")*1, (ISNUMBER(SEARCH("RH*-WHSOLBR",[1]OUT_FinalEnergyCons!$A$4:$A$10000)))*1,[1]OUT_FinalEnergyCons!H$4:H$10000)</f>
        <v>0.16895355520708999</v>
      </c>
      <c r="K2264" s="1" cm="1">
        <f t="array" ref="K2264">SUMPRODUCT(([1]OUT_FinalEnergyCons!$B$4:$B$10000="var_ncap")*1, (ISNUMBER(SEARCH("RH*-WHSOLBR",[1]OUT_FinalEnergyCons!$A$4:$A$10000)))*1,[1]OUT_FinalEnergyCons!I$4:I$10000)</f>
        <v>8.2190162082905194E-2</v>
      </c>
    </row>
    <row r="2265" spans="2:11" x14ac:dyDescent="0.35">
      <c r="B2265" s="5" t="str">
        <f t="shared" si="1323"/>
        <v>SPS2</v>
      </c>
      <c r="C2265" s="5" t="str">
        <f t="shared" si="1324"/>
        <v>CH</v>
      </c>
      <c r="D2265" t="s">
        <v>2411</v>
      </c>
      <c r="E2265" t="str">
        <f t="shared" si="1320"/>
        <v>GWth/yr.</v>
      </c>
      <c r="F2265" s="1">
        <f t="shared" ref="F2265:K2265" si="1338">F2266</f>
        <v>0</v>
      </c>
      <c r="G2265" s="1">
        <f t="shared" si="1338"/>
        <v>0</v>
      </c>
      <c r="H2265" s="1">
        <f t="shared" si="1338"/>
        <v>0</v>
      </c>
      <c r="I2265" s="1">
        <f t="shared" si="1338"/>
        <v>0</v>
      </c>
      <c r="J2265" s="1">
        <f t="shared" si="1338"/>
        <v>0</v>
      </c>
      <c r="K2265" s="1">
        <f t="shared" si="1338"/>
        <v>0</v>
      </c>
    </row>
    <row r="2266" spans="2:11" x14ac:dyDescent="0.35">
      <c r="B2266" s="5" t="str">
        <f t="shared" si="1323"/>
        <v>SPS2</v>
      </c>
      <c r="C2266" s="5" t="str">
        <f t="shared" si="1324"/>
        <v>CH</v>
      </c>
      <c r="D2266" t="s">
        <v>2412</v>
      </c>
      <c r="E2266" t="str">
        <f t="shared" si="1320"/>
        <v>GWth/yr.</v>
      </c>
      <c r="F2266" s="1" cm="1">
        <f t="array" ref="F2266">SUMPRODUCT(([1]OUT_FinalEnergyCons!$B$4:$B$10000="var_ncap")*1, (ISNUMBER(SEARCH("RH*-WHH2BR",[1]OUT_FinalEnergyCons!$A$4:$A$10000)))*1,[1]OUT_FinalEnergyCons!D$4:D$10000)</f>
        <v>0</v>
      </c>
      <c r="G2266" s="1" cm="1">
        <f t="array" ref="G2266">SUMPRODUCT(([1]OUT_FinalEnergyCons!$B$4:$B$10000="var_ncap")*1, (ISNUMBER(SEARCH("RH*-WHH2BR",[1]OUT_FinalEnergyCons!$A$4:$A$10000)))*1,[1]OUT_FinalEnergyCons!E$4:E$10000)</f>
        <v>0</v>
      </c>
      <c r="H2266" s="1" cm="1">
        <f t="array" ref="H2266">SUMPRODUCT(([1]OUT_FinalEnergyCons!$B$4:$B$10000="var_ncap")*1, (ISNUMBER(SEARCH("RH*-WHH2BR",[1]OUT_FinalEnergyCons!$A$4:$A$10000)))*1,[1]OUT_FinalEnergyCons!F$4:F$10000)</f>
        <v>0</v>
      </c>
      <c r="I2266" s="1" cm="1">
        <f t="array" ref="I2266">SUMPRODUCT(([1]OUT_FinalEnergyCons!$B$4:$B$10000="var_ncap")*1, (ISNUMBER(SEARCH("RH*-WHH2BR",[1]OUT_FinalEnergyCons!$A$4:$A$10000)))*1,[1]OUT_FinalEnergyCons!G$4:G$10000)</f>
        <v>0</v>
      </c>
      <c r="J2266" s="1" cm="1">
        <f t="array" ref="J2266">SUMPRODUCT(([1]OUT_FinalEnergyCons!$B$4:$B$10000="var_ncap")*1, (ISNUMBER(SEARCH("RH*-WHH2BR",[1]OUT_FinalEnergyCons!$A$4:$A$10000)))*1,[1]OUT_FinalEnergyCons!H$4:H$10000)</f>
        <v>0</v>
      </c>
      <c r="K2266" s="1" cm="1">
        <f t="array" ref="K2266">SUMPRODUCT(([1]OUT_FinalEnergyCons!$B$4:$B$10000="var_ncap")*1, (ISNUMBER(SEARCH("RH*-WHH2BR",[1]OUT_FinalEnergyCons!$A$4:$A$10000)))*1,[1]OUT_FinalEnergyCons!I$4:I$10000)</f>
        <v>0</v>
      </c>
    </row>
    <row r="2267" spans="2:11" x14ac:dyDescent="0.35">
      <c r="B2267" s="9" t="str">
        <f t="shared" si="1323"/>
        <v>SPS2</v>
      </c>
      <c r="C2267" s="9" t="str">
        <f t="shared" si="1324"/>
        <v>CH</v>
      </c>
      <c r="D2267" s="2" t="s">
        <v>2194</v>
      </c>
      <c r="E2267" s="9" t="str">
        <f t="shared" si="1320"/>
        <v>GWth/yr.</v>
      </c>
      <c r="F2267" s="17">
        <f t="shared" ref="F2267:K2267" si="1339">SUM(F2268,F2271,F2274,F2278,F2280,F2282,F2284,F2286,F2288)</f>
        <v>2.26036907407395E-3</v>
      </c>
      <c r="G2267" s="17">
        <f t="shared" si="1339"/>
        <v>0.30106303394111411</v>
      </c>
      <c r="H2267" s="17">
        <f t="shared" si="1339"/>
        <v>0.25963123325454729</v>
      </c>
      <c r="I2267" s="17">
        <f t="shared" si="1339"/>
        <v>1.4989269327706516</v>
      </c>
      <c r="J2267" s="17">
        <f t="shared" si="1339"/>
        <v>1.8600818236336032</v>
      </c>
      <c r="K2267" s="17">
        <f t="shared" si="1339"/>
        <v>2.3803792323925292</v>
      </c>
    </row>
    <row r="2268" spans="2:11" x14ac:dyDescent="0.35">
      <c r="B2268" s="5" t="str">
        <f t="shared" si="1323"/>
        <v>SPS2</v>
      </c>
      <c r="C2268" s="5" t="str">
        <f t="shared" si="1324"/>
        <v>CH</v>
      </c>
      <c r="D2268" t="s">
        <v>2413</v>
      </c>
      <c r="E2268" t="str">
        <f t="shared" si="1320"/>
        <v>GWth/yr.</v>
      </c>
      <c r="F2268" s="18">
        <f t="shared" ref="F2268:K2268" si="1340">SUM(F2269:F2270)</f>
        <v>0</v>
      </c>
      <c r="G2268" s="18">
        <f t="shared" si="1340"/>
        <v>0.1819045302486631</v>
      </c>
      <c r="H2268" s="18">
        <f t="shared" si="1340"/>
        <v>0.25916075788416021</v>
      </c>
      <c r="I2268" s="18">
        <f t="shared" si="1340"/>
        <v>0.419629206018513</v>
      </c>
      <c r="J2268" s="18">
        <f t="shared" si="1340"/>
        <v>0.91870995355830898</v>
      </c>
      <c r="K2268" s="18">
        <f t="shared" si="1340"/>
        <v>0.73474406401000603</v>
      </c>
    </row>
    <row r="2269" spans="2:11" x14ac:dyDescent="0.35">
      <c r="B2269" s="5" t="str">
        <f t="shared" si="1323"/>
        <v>SPS2</v>
      </c>
      <c r="C2269" s="5" t="str">
        <f t="shared" si="1324"/>
        <v>CH</v>
      </c>
      <c r="D2269" t="s">
        <v>2414</v>
      </c>
      <c r="E2269" t="str">
        <f t="shared" si="1320"/>
        <v>GWth/yr.</v>
      </c>
      <c r="F2269" s="1" cm="1">
        <f t="array" ref="F2269">SUMPRODUCT(([1]OUT_FinalEnergyCons!$B$4:$B$10000="var_ncap")*1,  (ISNUMBER(SEARCH("ITOT-SWHELCBR",[1]OUT_FinalEnergyCons!$A$4:$A$10000)))*1,[1]OUT_FinalEnergyCons!D$4:D$10000)</f>
        <v>0</v>
      </c>
      <c r="G2269" s="1" cm="1">
        <f t="array" ref="G2269">SUMPRODUCT(([1]OUT_FinalEnergyCons!$B$4:$B$10000="var_ncap")*1,  (ISNUMBER(SEARCH("ITOT-SWHELCBR",[1]OUT_FinalEnergyCons!$A$4:$A$10000)))*1,[1]OUT_FinalEnergyCons!E$4:E$10000)</f>
        <v>0.16552810901418299</v>
      </c>
      <c r="H2269" s="1" cm="1">
        <f t="array" ref="H2269">SUMPRODUCT(([1]OUT_FinalEnergyCons!$B$4:$B$10000="var_ncap")*1,  (ISNUMBER(SEARCH("ITOT-SWHELCBR",[1]OUT_FinalEnergyCons!$A$4:$A$10000)))*1,[1]OUT_FinalEnergyCons!F$4:F$10000)</f>
        <v>0.24359753514874699</v>
      </c>
      <c r="I2269" s="1" cm="1">
        <f t="array" ref="I2269">SUMPRODUCT(([1]OUT_FinalEnergyCons!$B$4:$B$10000="var_ncap")*1,  (ISNUMBER(SEARCH("ITOT-SWHELCBR",[1]OUT_FinalEnergyCons!$A$4:$A$10000)))*1,[1]OUT_FinalEnergyCons!G$4:G$10000)</f>
        <v>0.190250854683258</v>
      </c>
      <c r="J2269" s="1" cm="1">
        <f t="array" ref="J2269">SUMPRODUCT(([1]OUT_FinalEnergyCons!$B$4:$B$10000="var_ncap")*1,  (ISNUMBER(SEARCH("ITOT-SWHELCBR",[1]OUT_FinalEnergyCons!$A$4:$A$10000)))*1,[1]OUT_FinalEnergyCons!H$4:H$10000)</f>
        <v>0.81057119841824998</v>
      </c>
      <c r="K2269" s="1" cm="1">
        <f t="array" ref="K2269">SUMPRODUCT(([1]OUT_FinalEnergyCons!$B$4:$B$10000="var_ncap")*1,  (ISNUMBER(SEARCH("ITOT-SWHELCBR",[1]OUT_FinalEnergyCons!$A$4:$A$10000)))*1,[1]OUT_FinalEnergyCons!I$4:I$10000)</f>
        <v>0.51370194005935899</v>
      </c>
    </row>
    <row r="2270" spans="2:11" x14ac:dyDescent="0.35">
      <c r="B2270" s="5" t="str">
        <f t="shared" si="1323"/>
        <v>SPS2</v>
      </c>
      <c r="C2270" s="5" t="str">
        <f t="shared" si="1324"/>
        <v>CH</v>
      </c>
      <c r="D2270" t="s">
        <v>2415</v>
      </c>
      <c r="E2270" t="str">
        <f t="shared" si="1320"/>
        <v>GWth/yr.</v>
      </c>
      <c r="F2270" s="1" cm="1">
        <f t="array" ref="F2270">SUMPRODUCT(([1]OUT_FinalEnergyCons!$B$4:$B$10000="var_ncap")*1,  (ISNUMBER(SEARCH("ITOT-SWHELCHP",[1]OUT_FinalEnergyCons!$A$4:$A$10000)))*1,[1]OUT_FinalEnergyCons!D$4:D$10000)</f>
        <v>0</v>
      </c>
      <c r="G2270" s="1" cm="1">
        <f t="array" ref="G2270">SUMPRODUCT(([1]OUT_FinalEnergyCons!$B$4:$B$10000="var_ncap")*1,  (ISNUMBER(SEARCH("ITOT-SWHELCHP",[1]OUT_FinalEnergyCons!$A$4:$A$10000)))*1,[1]OUT_FinalEnergyCons!E$4:E$10000)</f>
        <v>1.6376421234480101E-2</v>
      </c>
      <c r="H2270" s="1" cm="1">
        <f t="array" ref="H2270">SUMPRODUCT(([1]OUT_FinalEnergyCons!$B$4:$B$10000="var_ncap")*1,  (ISNUMBER(SEARCH("ITOT-SWHELCHP",[1]OUT_FinalEnergyCons!$A$4:$A$10000)))*1,[1]OUT_FinalEnergyCons!F$4:F$10000)</f>
        <v>1.5563222735413201E-2</v>
      </c>
      <c r="I2270" s="1" cm="1">
        <f t="array" ref="I2270">SUMPRODUCT(([1]OUT_FinalEnergyCons!$B$4:$B$10000="var_ncap")*1,  (ISNUMBER(SEARCH("ITOT-SWHELCHP",[1]OUT_FinalEnergyCons!$A$4:$A$10000)))*1,[1]OUT_FinalEnergyCons!G$4:G$10000)</f>
        <v>0.229378351335255</v>
      </c>
      <c r="J2270" s="1" cm="1">
        <f t="array" ref="J2270">SUMPRODUCT(([1]OUT_FinalEnergyCons!$B$4:$B$10000="var_ncap")*1,  (ISNUMBER(SEARCH("ITOT-SWHELCHP",[1]OUT_FinalEnergyCons!$A$4:$A$10000)))*1,[1]OUT_FinalEnergyCons!H$4:H$10000)</f>
        <v>0.108138755140059</v>
      </c>
      <c r="K2270" s="1" cm="1">
        <f t="array" ref="K2270">SUMPRODUCT(([1]OUT_FinalEnergyCons!$B$4:$B$10000="var_ncap")*1,  (ISNUMBER(SEARCH("ITOT-SWHELCHP",[1]OUT_FinalEnergyCons!$A$4:$A$10000)))*1,[1]OUT_FinalEnergyCons!I$4:I$10000)</f>
        <v>0.22104212395064701</v>
      </c>
    </row>
    <row r="2271" spans="2:11" x14ac:dyDescent="0.35">
      <c r="B2271" s="5" t="str">
        <f t="shared" si="1323"/>
        <v>SPS2</v>
      </c>
      <c r="C2271" s="5" t="str">
        <f t="shared" si="1324"/>
        <v>CH</v>
      </c>
      <c r="D2271" t="s">
        <v>2416</v>
      </c>
      <c r="E2271" t="str">
        <f t="shared" si="1320"/>
        <v>GWth/yr.</v>
      </c>
      <c r="F2271" s="18">
        <f t="shared" ref="F2271:K2271" si="1341">SUM(F2272:F2273)</f>
        <v>2.26036907407395E-3</v>
      </c>
      <c r="G2271" s="18">
        <f t="shared" si="1341"/>
        <v>1.2456140256013428E-3</v>
      </c>
      <c r="H2271" s="18">
        <f t="shared" si="1341"/>
        <v>2.2747692549274581E-4</v>
      </c>
      <c r="I2271" s="18">
        <f t="shared" si="1341"/>
        <v>0.25540044349256674</v>
      </c>
      <c r="J2271" s="18">
        <f t="shared" si="1341"/>
        <v>2.5062463519579806E-2</v>
      </c>
      <c r="K2271" s="18">
        <f t="shared" si="1341"/>
        <v>2.0825302901591229E-2</v>
      </c>
    </row>
    <row r="2272" spans="2:11" x14ac:dyDescent="0.35">
      <c r="B2272" s="5" t="str">
        <f t="shared" si="1323"/>
        <v>SPS2</v>
      </c>
      <c r="C2272" s="5" t="str">
        <f t="shared" si="1324"/>
        <v>CH</v>
      </c>
      <c r="D2272" t="s">
        <v>2417</v>
      </c>
      <c r="E2272" t="str">
        <f t="shared" si="1320"/>
        <v>GWth/yr.</v>
      </c>
      <c r="F2272" s="1" cm="1">
        <f t="array" ref="F2272">SUMPRODUCT(([1]OUT_FinalEnergyCons!$B$4:$B$10000="var_ncap")*1,  (ISNUMBER(SEARCH("ITOT-SWHLFOBR",[1]OUT_FinalEnergyCons!$A$4:$A$10000)))*1,[1]OUT_FinalEnergyCons!D$4:D$10000)</f>
        <v>0</v>
      </c>
      <c r="G2272" s="1" cm="1">
        <f t="array" ref="G2272">SUMPRODUCT(([1]OUT_FinalEnergyCons!$B$4:$B$10000="var_ncap")*1,  (ISNUMBER(SEARCH("ITOT-SWHLFOBR",[1]OUT_FinalEnergyCons!$A$4:$A$10000)))*1,[1]OUT_FinalEnergyCons!E$4:E$10000)</f>
        <v>1.1977698792711099E-3</v>
      </c>
      <c r="H2272" s="1" cm="1">
        <f t="array" ref="H2272">SUMPRODUCT(([1]OUT_FinalEnergyCons!$B$4:$B$10000="var_ncap")*1,  (ISNUMBER(SEARCH("ITOT-SWHLFOBR",[1]OUT_FinalEnergyCons!$A$4:$A$10000)))*1,[1]OUT_FinalEnergyCons!F$4:F$10000)</f>
        <v>1.9425474513441501E-4</v>
      </c>
      <c r="I2272" s="1" cm="1">
        <f t="array" ref="I2272">SUMPRODUCT(([1]OUT_FinalEnergyCons!$B$4:$B$10000="var_ncap")*1,  (ISNUMBER(SEARCH("ITOT-SWHLFOBR",[1]OUT_FinalEnergyCons!$A$4:$A$10000)))*1,[1]OUT_FinalEnergyCons!G$4:G$10000)</f>
        <v>0.25533235859834402</v>
      </c>
      <c r="J2272" s="1" cm="1">
        <f t="array" ref="J2272">SUMPRODUCT(([1]OUT_FinalEnergyCons!$B$4:$B$10000="var_ncap")*1,  (ISNUMBER(SEARCH("ITOT-SWHLFOBR",[1]OUT_FinalEnergyCons!$A$4:$A$10000)))*1,[1]OUT_FinalEnergyCons!H$4:H$10000)</f>
        <v>2.4985894533612201E-2</v>
      </c>
      <c r="K2272" s="1" cm="1">
        <f t="array" ref="K2272">SUMPRODUCT(([1]OUT_FinalEnergyCons!$B$4:$B$10000="var_ncap")*1,  (ISNUMBER(SEARCH("ITOT-SWHLFOBR",[1]OUT_FinalEnergyCons!$A$4:$A$10000)))*1,[1]OUT_FinalEnergyCons!I$4:I$10000)</f>
        <v>2.0819612792535799E-2</v>
      </c>
    </row>
    <row r="2273" spans="2:11" x14ac:dyDescent="0.35">
      <c r="B2273" s="5" t="str">
        <f t="shared" si="1323"/>
        <v>SPS2</v>
      </c>
      <c r="C2273" s="5" t="str">
        <f t="shared" si="1324"/>
        <v>CH</v>
      </c>
      <c r="D2273" t="s">
        <v>2418</v>
      </c>
      <c r="E2273" t="str">
        <f t="shared" si="1320"/>
        <v>GWth/yr.</v>
      </c>
      <c r="F2273" s="1" cm="1">
        <f t="array" ref="F2273">SUMPRODUCT(([1]OUT_FinalEnergyCons!$B$4:$B$10000="var_ncap")*1,  (ISNUMBER(SEARCH("ITOT-SWHHFOBR",[1]OUT_FinalEnergyCons!$A$4:$A$10000)))*1,[1]OUT_FinalEnergyCons!D$4:D$10000)</f>
        <v>2.26036907407395E-3</v>
      </c>
      <c r="G2273" s="1" cm="1">
        <f t="array" ref="G2273">SUMPRODUCT(([1]OUT_FinalEnergyCons!$B$4:$B$10000="var_ncap")*1,  (ISNUMBER(SEARCH("ITOT-SWHHFOBR",[1]OUT_FinalEnergyCons!$A$4:$A$10000)))*1,[1]OUT_FinalEnergyCons!E$4:E$10000)</f>
        <v>4.78441463302328E-5</v>
      </c>
      <c r="H2273" s="1" cm="1">
        <f t="array" ref="H2273">SUMPRODUCT(([1]OUT_FinalEnergyCons!$B$4:$B$10000="var_ncap")*1,  (ISNUMBER(SEARCH("ITOT-SWHHFOBR",[1]OUT_FinalEnergyCons!$A$4:$A$10000)))*1,[1]OUT_FinalEnergyCons!F$4:F$10000)</f>
        <v>3.3222180358330797E-5</v>
      </c>
      <c r="I2273" s="1" cm="1">
        <f t="array" ref="I2273">SUMPRODUCT(([1]OUT_FinalEnergyCons!$B$4:$B$10000="var_ncap")*1,  (ISNUMBER(SEARCH("ITOT-SWHHFOBR",[1]OUT_FinalEnergyCons!$A$4:$A$10000)))*1,[1]OUT_FinalEnergyCons!G$4:G$10000)</f>
        <v>6.8084894222697606E-5</v>
      </c>
      <c r="J2273" s="1" cm="1">
        <f t="array" ref="J2273">SUMPRODUCT(([1]OUT_FinalEnergyCons!$B$4:$B$10000="var_ncap")*1,  (ISNUMBER(SEARCH("ITOT-SWHHFOBR",[1]OUT_FinalEnergyCons!$A$4:$A$10000)))*1,[1]OUT_FinalEnergyCons!H$4:H$10000)</f>
        <v>7.6568985967605604E-5</v>
      </c>
      <c r="K2273" s="1" cm="1">
        <f t="array" ref="K2273">SUMPRODUCT(([1]OUT_FinalEnergyCons!$B$4:$B$10000="var_ncap")*1,  (ISNUMBER(SEARCH("ITOT-SWHHFOBR",[1]OUT_FinalEnergyCons!$A$4:$A$10000)))*1,[1]OUT_FinalEnergyCons!I$4:I$10000)</f>
        <v>5.6901090554294401E-6</v>
      </c>
    </row>
    <row r="2274" spans="2:11" x14ac:dyDescent="0.35">
      <c r="B2274" s="5" t="str">
        <f t="shared" si="1323"/>
        <v>SPS2</v>
      </c>
      <c r="C2274" s="5" t="str">
        <f t="shared" si="1324"/>
        <v>CH</v>
      </c>
      <c r="D2274" t="s">
        <v>2419</v>
      </c>
      <c r="E2274" t="str">
        <f t="shared" si="1320"/>
        <v>GWth/yr.</v>
      </c>
      <c r="F2274" s="18">
        <f t="shared" ref="F2274:K2274" si="1342">SUM(F2275:F2276)</f>
        <v>0</v>
      </c>
      <c r="G2274" s="18">
        <f t="shared" si="1342"/>
        <v>1.7809492763762843E-3</v>
      </c>
      <c r="H2274" s="18">
        <f t="shared" si="1342"/>
        <v>3.6455681806851743E-5</v>
      </c>
      <c r="I2274" s="18">
        <f t="shared" si="1342"/>
        <v>0.31280902975300673</v>
      </c>
      <c r="J2274" s="18">
        <f t="shared" si="1342"/>
        <v>4.3437755406920773E-3</v>
      </c>
      <c r="K2274" s="18">
        <f t="shared" si="1342"/>
        <v>0.13551000716368505</v>
      </c>
    </row>
    <row r="2275" spans="2:11" x14ac:dyDescent="0.35">
      <c r="B2275" s="5" t="str">
        <f t="shared" si="1323"/>
        <v>SPS2</v>
      </c>
      <c r="C2275" s="5" t="str">
        <f t="shared" si="1324"/>
        <v>CH</v>
      </c>
      <c r="D2275" t="s">
        <v>2420</v>
      </c>
      <c r="E2275" t="str">
        <f t="shared" si="1320"/>
        <v>GWth/yr.</v>
      </c>
      <c r="F2275" s="1" cm="1">
        <f t="array" ref="F2275">SUMPRODUCT(([1]OUT_FinalEnergyCons!$B$4:$B$10000="var_ncap")*1,  (ISNUMBER(SEARCH("ITOT-SWHNGA*BR",[1]OUT_FinalEnergyCons!$A$4:$A$10000)))*1,[1]OUT_FinalEnergyCons!D$4:D$10000)</f>
        <v>0</v>
      </c>
      <c r="G2275" s="1" cm="1">
        <f t="array" ref="G2275">SUMPRODUCT(([1]OUT_FinalEnergyCons!$B$4:$B$10000="var_ncap")*1,  (ISNUMBER(SEARCH("ITOT-SWHNGA*BR",[1]OUT_FinalEnergyCons!$A$4:$A$10000)))*1,[1]OUT_FinalEnergyCons!E$4:E$10000)</f>
        <v>5.53404374597344E-5</v>
      </c>
      <c r="H2275" s="1" cm="1">
        <f t="array" ref="H2275">SUMPRODUCT(([1]OUT_FinalEnergyCons!$B$4:$B$10000="var_ncap")*1,  (ISNUMBER(SEARCH("ITOT-SWHNGA*BR",[1]OUT_FinalEnergyCons!$A$4:$A$10000)))*1,[1]OUT_FinalEnergyCons!F$4:F$10000)</f>
        <v>3.0435747882784699E-5</v>
      </c>
      <c r="I2275" s="1" cm="1">
        <f t="array" ref="I2275">SUMPRODUCT(([1]OUT_FinalEnergyCons!$B$4:$B$10000="var_ncap")*1,  (ISNUMBER(SEARCH("ITOT-SWHNGA*BR",[1]OUT_FinalEnergyCons!$A$4:$A$10000)))*1,[1]OUT_FinalEnergyCons!G$4:G$10000)</f>
        <v>0.31280700803227701</v>
      </c>
      <c r="J2275" s="1" cm="1">
        <f t="array" ref="J2275">SUMPRODUCT(([1]OUT_FinalEnergyCons!$B$4:$B$10000="var_ncap")*1,  (ISNUMBER(SEARCH("ITOT-SWHNGA*BR",[1]OUT_FinalEnergyCons!$A$4:$A$10000)))*1,[1]OUT_FinalEnergyCons!H$4:H$10000)</f>
        <v>3.7382101995330698E-3</v>
      </c>
      <c r="K2275" s="1" cm="1">
        <f t="array" ref="K2275">SUMPRODUCT(([1]OUT_FinalEnergyCons!$B$4:$B$10000="var_ncap")*1,  (ISNUMBER(SEARCH("ITOT-SWHNGA*BR",[1]OUT_FinalEnergyCons!$A$4:$A$10000)))*1,[1]OUT_FinalEnergyCons!I$4:I$10000)</f>
        <v>0.13500990422804199</v>
      </c>
    </row>
    <row r="2276" spans="2:11" x14ac:dyDescent="0.35">
      <c r="B2276" s="5" t="str">
        <f t="shared" si="1323"/>
        <v>SPS2</v>
      </c>
      <c r="C2276" s="5" t="str">
        <f t="shared" si="1324"/>
        <v>CH</v>
      </c>
      <c r="D2276" t="s">
        <v>2421</v>
      </c>
      <c r="E2276" t="str">
        <f t="shared" si="1320"/>
        <v>GWth/yr.</v>
      </c>
      <c r="F2276" s="1" cm="1">
        <f t="array" ref="F2276">SUMPRODUCT(([1]OUT_FinalEnergyCons!$B$4:$B$10000="var_ncap")*1,  (ISNUMBER(SEARCH("ITOT-SWHNGAHP",[1]OUT_FinalEnergyCons!$A$4:$A$10000)))*1,[1]OUT_FinalEnergyCons!D$4:D$10000)</f>
        <v>0</v>
      </c>
      <c r="G2276" s="1" cm="1">
        <f t="array" ref="G2276">SUMPRODUCT(([1]OUT_FinalEnergyCons!$B$4:$B$10000="var_ncap")*1,  (ISNUMBER(SEARCH("ITOT-SWHNGAHP",[1]OUT_FinalEnergyCons!$A$4:$A$10000)))*1,[1]OUT_FinalEnergyCons!E$4:E$10000)</f>
        <v>1.7256088389165499E-3</v>
      </c>
      <c r="H2276" s="1" cm="1">
        <f t="array" ref="H2276">SUMPRODUCT(([1]OUT_FinalEnergyCons!$B$4:$B$10000="var_ncap")*1,  (ISNUMBER(SEARCH("ITOT-SWHNGAHP",[1]OUT_FinalEnergyCons!$A$4:$A$10000)))*1,[1]OUT_FinalEnergyCons!F$4:F$10000)</f>
        <v>6.0199339240670397E-6</v>
      </c>
      <c r="I2276" s="1" cm="1">
        <f t="array" ref="I2276">SUMPRODUCT(([1]OUT_FinalEnergyCons!$B$4:$B$10000="var_ncap")*1,  (ISNUMBER(SEARCH("ITOT-SWHNGAHP",[1]OUT_FinalEnergyCons!$A$4:$A$10000)))*1,[1]OUT_FinalEnergyCons!G$4:G$10000)</f>
        <v>2.0217207297137699E-6</v>
      </c>
      <c r="J2276" s="1" cm="1">
        <f t="array" ref="J2276">SUMPRODUCT(([1]OUT_FinalEnergyCons!$B$4:$B$10000="var_ncap")*1,  (ISNUMBER(SEARCH("ITOT-SWHNGAHP",[1]OUT_FinalEnergyCons!$A$4:$A$10000)))*1,[1]OUT_FinalEnergyCons!H$4:H$10000)</f>
        <v>6.0556534115900704E-4</v>
      </c>
      <c r="K2276" s="1" cm="1">
        <f t="array" ref="K2276">SUMPRODUCT(([1]OUT_FinalEnergyCons!$B$4:$B$10000="var_ncap")*1,  (ISNUMBER(SEARCH("ITOT-SWHNGAHP",[1]OUT_FinalEnergyCons!$A$4:$A$10000)))*1,[1]OUT_FinalEnergyCons!I$4:I$10000)</f>
        <v>5.00102935643077E-4</v>
      </c>
    </row>
    <row r="2277" spans="2:11" x14ac:dyDescent="0.35">
      <c r="B2277" s="5" t="str">
        <f t="shared" si="1323"/>
        <v>SPS2</v>
      </c>
      <c r="C2277" s="5" t="str">
        <f t="shared" si="1324"/>
        <v>CH</v>
      </c>
      <c r="D2277" t="s">
        <v>2422</v>
      </c>
      <c r="E2277" t="str">
        <f t="shared" si="1320"/>
        <v>GWth/yr.</v>
      </c>
      <c r="F2277" s="1" cm="1">
        <f t="array" ref="F2277">SUMPRODUCT(([1]OUT_FinalEnergyCons!$B$4:$B$10000="var_ncap")*1,  (("ITOT-SWHBIOBR"=[1]OUT_FinalEnergyCons!$A$4:$A$10000)*1+("ITOT-SWHBNGABR"=[1]OUT_FinalEnergyCons!$A$4:$A$10000))*1,[1]OUT_FinalEnergyCons!D$4:D$10000)</f>
        <v>0</v>
      </c>
      <c r="G2277" s="1" cm="1">
        <f t="array" ref="G2277">SUMPRODUCT(([1]OUT_FinalEnergyCons!$B$4:$B$10000="var_ncap")*1,  (("ITOT-SWHBIOBR"=[1]OUT_FinalEnergyCons!$A$4:$A$10000)*1+("ITOT-SWHBNGABR"=[1]OUT_FinalEnergyCons!$A$4:$A$10000))*1,[1]OUT_FinalEnergyCons!E$4:E$10000)</f>
        <v>1.5735297743059502E-2</v>
      </c>
      <c r="H2277" s="1" cm="1">
        <f t="array" ref="H2277">SUMPRODUCT(([1]OUT_FinalEnergyCons!$B$4:$B$10000="var_ncap")*1,  (("ITOT-SWHBIOBR"=[1]OUT_FinalEnergyCons!$A$4:$A$10000)*1+("ITOT-SWHBNGABR"=[1]OUT_FinalEnergyCons!$A$4:$A$10000))*1,[1]OUT_FinalEnergyCons!F$4:F$10000)</f>
        <v>3.3500303543760199E-2</v>
      </c>
      <c r="I2277" s="1" cm="1">
        <f t="array" ref="I2277">SUMPRODUCT(([1]OUT_FinalEnergyCons!$B$4:$B$10000="var_ncap")*1,  (("ITOT-SWHBIOBR"=[1]OUT_FinalEnergyCons!$A$4:$A$10000)*1+("ITOT-SWHBNGABR"=[1]OUT_FinalEnergyCons!$A$4:$A$10000))*1,[1]OUT_FinalEnergyCons!G$4:G$10000)</f>
        <v>6.5538455779864599E-2</v>
      </c>
      <c r="J2277" s="1" cm="1">
        <f t="array" ref="J2277">SUMPRODUCT(([1]OUT_FinalEnergyCons!$B$4:$B$10000="var_ncap")*1,  (("ITOT-SWHBIOBR"=[1]OUT_FinalEnergyCons!$A$4:$A$10000)*1+("ITOT-SWHBNGABR"=[1]OUT_FinalEnergyCons!$A$4:$A$10000))*1,[1]OUT_FinalEnergyCons!H$4:H$10000)</f>
        <v>5.6895918020774101E-2</v>
      </c>
      <c r="K2277" s="1" cm="1">
        <f t="array" ref="K2277">SUMPRODUCT(([1]OUT_FinalEnergyCons!$B$4:$B$10000="var_ncap")*1,  (("ITOT-SWHBIOBR"=[1]OUT_FinalEnergyCons!$A$4:$A$10000)*1+("ITOT-SWHBNGABR"=[1]OUT_FinalEnergyCons!$A$4:$A$10000))*1,[1]OUT_FinalEnergyCons!I$4:I$10000)</f>
        <v>0.155988036468927</v>
      </c>
    </row>
    <row r="2278" spans="2:11" x14ac:dyDescent="0.35">
      <c r="B2278" s="5" t="str">
        <f t="shared" si="1323"/>
        <v>SPS2</v>
      </c>
      <c r="C2278" s="5" t="str">
        <f t="shared" si="1324"/>
        <v>CH</v>
      </c>
      <c r="D2278" t="s">
        <v>2423</v>
      </c>
      <c r="E2278" t="str">
        <f t="shared" si="1320"/>
        <v>GWth/yr.</v>
      </c>
      <c r="F2278" s="1">
        <f t="shared" ref="F2278:K2278" si="1343">F2279</f>
        <v>0</v>
      </c>
      <c r="G2278" s="1">
        <f t="shared" si="1343"/>
        <v>1.7065077657428899E-5</v>
      </c>
      <c r="H2278" s="1">
        <f t="shared" si="1343"/>
        <v>1.7774981700997999E-5</v>
      </c>
      <c r="I2278" s="1">
        <f t="shared" si="1343"/>
        <v>2.5459226618105901E-5</v>
      </c>
      <c r="J2278" s="1">
        <f t="shared" si="1343"/>
        <v>1.32835476320786E-5</v>
      </c>
      <c r="K2278" s="1">
        <f t="shared" si="1343"/>
        <v>2.8265756640596502E-6</v>
      </c>
    </row>
    <row r="2279" spans="2:11" x14ac:dyDescent="0.35">
      <c r="B2279" s="5" t="str">
        <f t="shared" si="1323"/>
        <v>SPS2</v>
      </c>
      <c r="C2279" s="5" t="str">
        <f t="shared" si="1324"/>
        <v>CH</v>
      </c>
      <c r="D2279" t="s">
        <v>2424</v>
      </c>
      <c r="E2279" t="str">
        <f t="shared" si="1320"/>
        <v>GWth/yr.</v>
      </c>
      <c r="F2279" s="1" cm="1">
        <f t="array" ref="F2279">SUMPRODUCT(([1]OUT_FinalEnergyCons!$B$4:$B$10000="var_ncap")*1,  (ISNUMBER(SEARCH("ITOT-SWHCOA*BR",[1]OUT_FinalEnergyCons!$A$4:$A$10000)))*1,[1]OUT_FinalEnergyCons!D$4:D$10000)</f>
        <v>0</v>
      </c>
      <c r="G2279" s="1" cm="1">
        <f t="array" ref="G2279">SUMPRODUCT(([1]OUT_FinalEnergyCons!$B$4:$B$10000="var_ncap")*1,  (ISNUMBER(SEARCH("ITOT-SWHCOA*BR",[1]OUT_FinalEnergyCons!$A$4:$A$10000)))*1,[1]OUT_FinalEnergyCons!E$4:E$10000)</f>
        <v>1.7065077657428899E-5</v>
      </c>
      <c r="H2279" s="1" cm="1">
        <f t="array" ref="H2279">SUMPRODUCT(([1]OUT_FinalEnergyCons!$B$4:$B$10000="var_ncap")*1,  (ISNUMBER(SEARCH("ITOT-SWHCOA*BR",[1]OUT_FinalEnergyCons!$A$4:$A$10000)))*1,[1]OUT_FinalEnergyCons!F$4:F$10000)</f>
        <v>1.7774981700997999E-5</v>
      </c>
      <c r="I2279" s="1" cm="1">
        <f t="array" ref="I2279">SUMPRODUCT(([1]OUT_FinalEnergyCons!$B$4:$B$10000="var_ncap")*1,  (ISNUMBER(SEARCH("ITOT-SWHCOA*BR",[1]OUT_FinalEnergyCons!$A$4:$A$10000)))*1,[1]OUT_FinalEnergyCons!G$4:G$10000)</f>
        <v>2.5459226618105901E-5</v>
      </c>
      <c r="J2279" s="1" cm="1">
        <f t="array" ref="J2279">SUMPRODUCT(([1]OUT_FinalEnergyCons!$B$4:$B$10000="var_ncap")*1,  (ISNUMBER(SEARCH("ITOT-SWHCOA*BR",[1]OUT_FinalEnergyCons!$A$4:$A$10000)))*1,[1]OUT_FinalEnergyCons!H$4:H$10000)</f>
        <v>1.32835476320786E-5</v>
      </c>
      <c r="K2279" s="1" cm="1">
        <f t="array" ref="K2279">SUMPRODUCT(([1]OUT_FinalEnergyCons!$B$4:$B$10000="var_ncap")*1,  (ISNUMBER(SEARCH("ITOT-SWHCOA*BR",[1]OUT_FinalEnergyCons!$A$4:$A$10000)))*1,[1]OUT_FinalEnergyCons!I$4:I$10000)</f>
        <v>2.8265756640596502E-6</v>
      </c>
    </row>
    <row r="2280" spans="2:11" x14ac:dyDescent="0.35">
      <c r="B2280" s="5" t="str">
        <f t="shared" si="1323"/>
        <v>SPS2</v>
      </c>
      <c r="C2280" s="5" t="str">
        <f t="shared" si="1324"/>
        <v>CH</v>
      </c>
      <c r="D2280" t="s">
        <v>2425</v>
      </c>
      <c r="E2280" t="str">
        <f t="shared" si="1320"/>
        <v>GWth/yr.</v>
      </c>
      <c r="F2280" s="1">
        <f t="shared" ref="F2280:K2280" si="1344">F2281</f>
        <v>0</v>
      </c>
      <c r="G2280" s="1">
        <f t="shared" si="1344"/>
        <v>5.31085943249031E-2</v>
      </c>
      <c r="H2280" s="1">
        <f t="shared" si="1344"/>
        <v>5.09435654515104E-5</v>
      </c>
      <c r="I2280" s="1">
        <f t="shared" si="1344"/>
        <v>8.0919417119653503E-2</v>
      </c>
      <c r="J2280" s="1">
        <f t="shared" si="1344"/>
        <v>0.162995669316914</v>
      </c>
      <c r="K2280" s="1">
        <f t="shared" si="1344"/>
        <v>0.39698970850424498</v>
      </c>
    </row>
    <row r="2281" spans="2:11" x14ac:dyDescent="0.35">
      <c r="B2281" s="5" t="str">
        <f t="shared" si="1323"/>
        <v>SPS2</v>
      </c>
      <c r="C2281" s="5" t="str">
        <f t="shared" si="1324"/>
        <v>CH</v>
      </c>
      <c r="D2281" t="s">
        <v>2426</v>
      </c>
      <c r="E2281" t="str">
        <f t="shared" si="1320"/>
        <v>GWth/yr.</v>
      </c>
      <c r="F2281" s="1" cm="1">
        <f t="array" ref="F2281">SUMPRODUCT(([1]OUT_FinalEnergyCons!$B$4:$B$10000="var_ncap")*1,  (ISNUMBER(SEARCH("ITOT-SWHWOD*BR",[1]OUT_FinalEnergyCons!$A$4:$A$10000)))*1,[1]OUT_FinalEnergyCons!D$4:D$10000)</f>
        <v>0</v>
      </c>
      <c r="G2281" s="1" cm="1">
        <f t="array" ref="G2281">SUMPRODUCT(([1]OUT_FinalEnergyCons!$B$4:$B$10000="var_ncap")*1,  (ISNUMBER(SEARCH("ITOT-SWHWOD*BR",[1]OUT_FinalEnergyCons!$A$4:$A$10000)))*1,[1]OUT_FinalEnergyCons!E$4:E$10000)</f>
        <v>5.31085943249031E-2</v>
      </c>
      <c r="H2281" s="1" cm="1">
        <f t="array" ref="H2281">SUMPRODUCT(([1]OUT_FinalEnergyCons!$B$4:$B$10000="var_ncap")*1,  (ISNUMBER(SEARCH("ITOT-SWHWOD*BR",[1]OUT_FinalEnergyCons!$A$4:$A$10000)))*1,[1]OUT_FinalEnergyCons!F$4:F$10000)</f>
        <v>5.09435654515104E-5</v>
      </c>
      <c r="I2281" s="1" cm="1">
        <f t="array" ref="I2281">SUMPRODUCT(([1]OUT_FinalEnergyCons!$B$4:$B$10000="var_ncap")*1,  (ISNUMBER(SEARCH("ITOT-SWHWOD*BR",[1]OUT_FinalEnergyCons!$A$4:$A$10000)))*1,[1]OUT_FinalEnergyCons!G$4:G$10000)</f>
        <v>8.0919417119653503E-2</v>
      </c>
      <c r="J2281" s="1" cm="1">
        <f t="array" ref="J2281">SUMPRODUCT(([1]OUT_FinalEnergyCons!$B$4:$B$10000="var_ncap")*1,  (ISNUMBER(SEARCH("ITOT-SWHWOD*BR",[1]OUT_FinalEnergyCons!$A$4:$A$10000)))*1,[1]OUT_FinalEnergyCons!H$4:H$10000)</f>
        <v>0.162995669316914</v>
      </c>
      <c r="K2281" s="1" cm="1">
        <f t="array" ref="K2281">SUMPRODUCT(([1]OUT_FinalEnergyCons!$B$4:$B$10000="var_ncap")*1,  (ISNUMBER(SEARCH("ITOT-SWHWOD*BR",[1]OUT_FinalEnergyCons!$A$4:$A$10000)))*1,[1]OUT_FinalEnergyCons!I$4:I$10000)</f>
        <v>0.39698970850424498</v>
      </c>
    </row>
    <row r="2282" spans="2:11" x14ac:dyDescent="0.35">
      <c r="B2282" s="5" t="str">
        <f t="shared" si="1323"/>
        <v>SPS2</v>
      </c>
      <c r="C2282" s="5" t="str">
        <f t="shared" si="1324"/>
        <v>CH</v>
      </c>
      <c r="D2282" t="s">
        <v>2427</v>
      </c>
      <c r="E2282" t="str">
        <f t="shared" si="1320"/>
        <v>GWth/yr.</v>
      </c>
      <c r="F2282" s="1">
        <f t="shared" ref="F2282:K2282" si="1345">F2283</f>
        <v>0</v>
      </c>
      <c r="G2282" s="1">
        <f t="shared" si="1345"/>
        <v>8.3439278242711506E-3</v>
      </c>
      <c r="H2282" s="1">
        <f t="shared" si="1345"/>
        <v>1.22801831173173E-4</v>
      </c>
      <c r="I2282" s="1">
        <f t="shared" si="1345"/>
        <v>6.22457296345767E-5</v>
      </c>
      <c r="J2282" s="1">
        <f t="shared" si="1345"/>
        <v>1.4216247781752201E-2</v>
      </c>
      <c r="K2282" s="1">
        <f t="shared" si="1345"/>
        <v>2.5254668474324001E-2</v>
      </c>
    </row>
    <row r="2283" spans="2:11" x14ac:dyDescent="0.35">
      <c r="B2283" s="5" t="str">
        <f t="shared" si="1323"/>
        <v>SPS2</v>
      </c>
      <c r="C2283" s="5" t="str">
        <f t="shared" si="1324"/>
        <v>CH</v>
      </c>
      <c r="D2283" t="s">
        <v>2428</v>
      </c>
      <c r="E2283" t="str">
        <f t="shared" si="1320"/>
        <v>GWth/yr.</v>
      </c>
      <c r="F2283" s="1" cm="1">
        <f t="array" ref="F2283">SUMPRODUCT(([1]OUT_FinalEnergyCons!$B$4:$B$10000="var_ncap")*1,  (ISNUMBER(SEARCH("ITOT-SWHPLT*BR",[1]OUT_FinalEnergyCons!$A$4:$A$10000)))*1,[1]OUT_FinalEnergyCons!D$4:D$10000)</f>
        <v>0</v>
      </c>
      <c r="G2283" s="1" cm="1">
        <f t="array" ref="G2283">SUMPRODUCT(([1]OUT_FinalEnergyCons!$B$4:$B$10000="var_ncap")*1,  (ISNUMBER(SEARCH("ITOT-SWHPLT*BR",[1]OUT_FinalEnergyCons!$A$4:$A$10000)))*1,[1]OUT_FinalEnergyCons!E$4:E$10000)</f>
        <v>8.3439278242711506E-3</v>
      </c>
      <c r="H2283" s="1" cm="1">
        <f t="array" ref="H2283">SUMPRODUCT(([1]OUT_FinalEnergyCons!$B$4:$B$10000="var_ncap")*1,  (ISNUMBER(SEARCH("ITOT-SWHPLT*BR",[1]OUT_FinalEnergyCons!$A$4:$A$10000)))*1,[1]OUT_FinalEnergyCons!F$4:F$10000)</f>
        <v>1.22801831173173E-4</v>
      </c>
      <c r="I2283" s="1" cm="1">
        <f t="array" ref="I2283">SUMPRODUCT(([1]OUT_FinalEnergyCons!$B$4:$B$10000="var_ncap")*1,  (ISNUMBER(SEARCH("ITOT-SWHPLT*BR",[1]OUT_FinalEnergyCons!$A$4:$A$10000)))*1,[1]OUT_FinalEnergyCons!G$4:G$10000)</f>
        <v>6.22457296345767E-5</v>
      </c>
      <c r="J2283" s="1" cm="1">
        <f t="array" ref="J2283">SUMPRODUCT(([1]OUT_FinalEnergyCons!$B$4:$B$10000="var_ncap")*1,  (ISNUMBER(SEARCH("ITOT-SWHPLT*BR",[1]OUT_FinalEnergyCons!$A$4:$A$10000)))*1,[1]OUT_FinalEnergyCons!H$4:H$10000)</f>
        <v>1.4216247781752201E-2</v>
      </c>
      <c r="K2283" s="1" cm="1">
        <f t="array" ref="K2283">SUMPRODUCT(([1]OUT_FinalEnergyCons!$B$4:$B$10000="var_ncap")*1,  (ISNUMBER(SEARCH("ITOT-SWHPLT*BR",[1]OUT_FinalEnergyCons!$A$4:$A$10000)))*1,[1]OUT_FinalEnergyCons!I$4:I$10000)</f>
        <v>2.5254668474324001E-2</v>
      </c>
    </row>
    <row r="2284" spans="2:11" x14ac:dyDescent="0.35">
      <c r="B2284" s="5" t="str">
        <f t="shared" si="1323"/>
        <v>SPS2</v>
      </c>
      <c r="C2284" s="5" t="str">
        <f t="shared" si="1324"/>
        <v>CH</v>
      </c>
      <c r="D2284" t="s">
        <v>2429</v>
      </c>
      <c r="E2284" t="str">
        <f t="shared" si="1320"/>
        <v>GWth/yr.</v>
      </c>
      <c r="F2284" s="1">
        <f t="shared" ref="F2284:K2284" si="1346">F2285</f>
        <v>0</v>
      </c>
      <c r="G2284" s="1">
        <f t="shared" si="1346"/>
        <v>1.37543086751581E-5</v>
      </c>
      <c r="H2284" s="1">
        <f t="shared" si="1346"/>
        <v>1.45506573349556E-5</v>
      </c>
      <c r="I2284" s="1">
        <f t="shared" si="1346"/>
        <v>0.156095123640101</v>
      </c>
      <c r="J2284" s="1">
        <f t="shared" si="1346"/>
        <v>9.7944354467890904E-2</v>
      </c>
      <c r="K2284" s="1">
        <f t="shared" si="1346"/>
        <v>1.6009275108028499E-5</v>
      </c>
    </row>
    <row r="2285" spans="2:11" x14ac:dyDescent="0.35">
      <c r="B2285" s="5" t="str">
        <f t="shared" si="1323"/>
        <v>SPS2</v>
      </c>
      <c r="C2285" s="5" t="str">
        <f t="shared" si="1324"/>
        <v>CH</v>
      </c>
      <c r="D2285" t="s">
        <v>2430</v>
      </c>
      <c r="E2285" t="str">
        <f t="shared" si="1320"/>
        <v>GWth/yr.</v>
      </c>
      <c r="F2285" s="1" cm="1">
        <f t="array" ref="F2285">SUMPRODUCT(([1]OUT_FinalEnergyCons!$B$4:$B$10000="var_ncap")*1,  (ISNUMBER(SEARCH("ITOT-SWHWST*BR",[1]OUT_FinalEnergyCons!$A$4:$A$10000)))*1,[1]OUT_FinalEnergyCons!D$4:D$10000)</f>
        <v>0</v>
      </c>
      <c r="G2285" s="1" cm="1">
        <f t="array" ref="G2285">SUMPRODUCT(([1]OUT_FinalEnergyCons!$B$4:$B$10000="var_ncap")*1,  (ISNUMBER(SEARCH("ITOT-SWHWST*BR",[1]OUT_FinalEnergyCons!$A$4:$A$10000)))*1,[1]OUT_FinalEnergyCons!E$4:E$10000)</f>
        <v>1.37543086751581E-5</v>
      </c>
      <c r="H2285" s="1" cm="1">
        <f t="array" ref="H2285">SUMPRODUCT(([1]OUT_FinalEnergyCons!$B$4:$B$10000="var_ncap")*1,  (ISNUMBER(SEARCH("ITOT-SWHWST*BR",[1]OUT_FinalEnergyCons!$A$4:$A$10000)))*1,[1]OUT_FinalEnergyCons!F$4:F$10000)</f>
        <v>1.45506573349556E-5</v>
      </c>
      <c r="I2285" s="1" cm="1">
        <f t="array" ref="I2285">SUMPRODUCT(([1]OUT_FinalEnergyCons!$B$4:$B$10000="var_ncap")*1,  (ISNUMBER(SEARCH("ITOT-SWHWST*BR",[1]OUT_FinalEnergyCons!$A$4:$A$10000)))*1,[1]OUT_FinalEnergyCons!G$4:G$10000)</f>
        <v>0.156095123640101</v>
      </c>
      <c r="J2285" s="1" cm="1">
        <f t="array" ref="J2285">SUMPRODUCT(([1]OUT_FinalEnergyCons!$B$4:$B$10000="var_ncap")*1,  (ISNUMBER(SEARCH("ITOT-SWHWST*BR",[1]OUT_FinalEnergyCons!$A$4:$A$10000)))*1,[1]OUT_FinalEnergyCons!H$4:H$10000)</f>
        <v>9.7944354467890904E-2</v>
      </c>
      <c r="K2285" s="1" cm="1">
        <f t="array" ref="K2285">SUMPRODUCT(([1]OUT_FinalEnergyCons!$B$4:$B$10000="var_ncap")*1,  (ISNUMBER(SEARCH("ITOT-SWHWST*BR",[1]OUT_FinalEnergyCons!$A$4:$A$10000)))*1,[1]OUT_FinalEnergyCons!I$4:I$10000)</f>
        <v>1.6009275108028499E-5</v>
      </c>
    </row>
    <row r="2286" spans="2:11" x14ac:dyDescent="0.35">
      <c r="B2286" s="5" t="str">
        <f t="shared" si="1323"/>
        <v>SPS2</v>
      </c>
      <c r="C2286" s="5" t="str">
        <f t="shared" si="1324"/>
        <v>CH</v>
      </c>
      <c r="D2286" t="s">
        <v>2431</v>
      </c>
      <c r="E2286" t="str">
        <f t="shared" si="1320"/>
        <v>GWth/yr.</v>
      </c>
      <c r="F2286" s="1">
        <f t="shared" ref="F2286:K2286" si="1347">F2287</f>
        <v>0</v>
      </c>
      <c r="G2286" s="1">
        <f t="shared" si="1347"/>
        <v>5.4648598854966597E-2</v>
      </c>
      <c r="H2286" s="1">
        <f t="shared" si="1347"/>
        <v>4.7172742681575402E-7</v>
      </c>
      <c r="I2286" s="1">
        <f t="shared" si="1347"/>
        <v>0.27398600779055798</v>
      </c>
      <c r="J2286" s="1">
        <f t="shared" si="1347"/>
        <v>0.11739806614789</v>
      </c>
      <c r="K2286" s="1">
        <f t="shared" si="1347"/>
        <v>0.23890574778561099</v>
      </c>
    </row>
    <row r="2287" spans="2:11" x14ac:dyDescent="0.35">
      <c r="B2287" s="5" t="str">
        <f t="shared" si="1323"/>
        <v>SPS2</v>
      </c>
      <c r="C2287" s="5" t="str">
        <f t="shared" si="1324"/>
        <v>CH</v>
      </c>
      <c r="D2287" t="s">
        <v>2432</v>
      </c>
      <c r="E2287" t="str">
        <f t="shared" si="1320"/>
        <v>GWth/yr.</v>
      </c>
      <c r="F2287" s="1" cm="1">
        <f t="array" ref="F2287">SUMPRODUCT(([1]OUT_FinalEnergyCons!$B$4:$B$10000="var_ncap")*1, (ISNUMBER(SEARCH("ITOT-SWHSOLBR",[1]OUT_FinalEnergyCons!$A$4:$A$10000)))*1,[1]OUT_FinalEnergyCons!D$4:D$10000)</f>
        <v>0</v>
      </c>
      <c r="G2287" s="1" cm="1">
        <f t="array" ref="G2287">SUMPRODUCT(([1]OUT_FinalEnergyCons!$B$4:$B$10000="var_ncap")*1, (ISNUMBER(SEARCH("ITOT-SWHSOLBR",[1]OUT_FinalEnergyCons!$A$4:$A$10000)))*1,[1]OUT_FinalEnergyCons!E$4:E$10000)</f>
        <v>5.4648598854966597E-2</v>
      </c>
      <c r="H2287" s="1" cm="1">
        <f t="array" ref="H2287">SUMPRODUCT(([1]OUT_FinalEnergyCons!$B$4:$B$10000="var_ncap")*1, (ISNUMBER(SEARCH("ITOT-SWHSOLBR",[1]OUT_FinalEnergyCons!$A$4:$A$10000)))*1,[1]OUT_FinalEnergyCons!F$4:F$10000)</f>
        <v>4.7172742681575402E-7</v>
      </c>
      <c r="I2287" s="1" cm="1">
        <f t="array" ref="I2287">SUMPRODUCT(([1]OUT_FinalEnergyCons!$B$4:$B$10000="var_ncap")*1, (ISNUMBER(SEARCH("ITOT-SWHSOLBR",[1]OUT_FinalEnergyCons!$A$4:$A$10000)))*1,[1]OUT_FinalEnergyCons!G$4:G$10000)</f>
        <v>0.27398600779055798</v>
      </c>
      <c r="J2287" s="1" cm="1">
        <f t="array" ref="J2287">SUMPRODUCT(([1]OUT_FinalEnergyCons!$B$4:$B$10000="var_ncap")*1, (ISNUMBER(SEARCH("ITOT-SWHSOLBR",[1]OUT_FinalEnergyCons!$A$4:$A$10000)))*1,[1]OUT_FinalEnergyCons!H$4:H$10000)</f>
        <v>0.11739806614789</v>
      </c>
      <c r="K2287" s="1" cm="1">
        <f t="array" ref="K2287">SUMPRODUCT(([1]OUT_FinalEnergyCons!$B$4:$B$10000="var_ncap")*1, (ISNUMBER(SEARCH("ITOT-SWHSOLBR",[1]OUT_FinalEnergyCons!$A$4:$A$10000)))*1,[1]OUT_FinalEnergyCons!I$4:I$10000)</f>
        <v>0.23890574778561099</v>
      </c>
    </row>
    <row r="2288" spans="2:11" x14ac:dyDescent="0.35">
      <c r="B2288" s="5" t="str">
        <f t="shared" si="1323"/>
        <v>SPS2</v>
      </c>
      <c r="C2288" s="5" t="str">
        <f t="shared" si="1324"/>
        <v>CH</v>
      </c>
      <c r="D2288" t="s">
        <v>2433</v>
      </c>
      <c r="E2288" t="str">
        <f t="shared" si="1320"/>
        <v>GWth/yr.</v>
      </c>
      <c r="F2288" s="1">
        <f t="shared" ref="F2288:K2288" si="1348">F2289</f>
        <v>0</v>
      </c>
      <c r="G2288" s="1">
        <f t="shared" si="1348"/>
        <v>0</v>
      </c>
      <c r="H2288" s="1">
        <f t="shared" si="1348"/>
        <v>0</v>
      </c>
      <c r="I2288" s="1">
        <f t="shared" si="1348"/>
        <v>0</v>
      </c>
      <c r="J2288" s="1">
        <f t="shared" si="1348"/>
        <v>0.51939800975294304</v>
      </c>
      <c r="K2288" s="1">
        <f t="shared" si="1348"/>
        <v>0.82813089770229498</v>
      </c>
    </row>
    <row r="2289" spans="2:11" x14ac:dyDescent="0.35">
      <c r="B2289" s="5" t="str">
        <f t="shared" si="1323"/>
        <v>SPS2</v>
      </c>
      <c r="C2289" s="5" t="str">
        <f t="shared" si="1324"/>
        <v>CH</v>
      </c>
      <c r="D2289" t="s">
        <v>2434</v>
      </c>
      <c r="E2289" t="str">
        <f t="shared" si="1320"/>
        <v>GWth/yr.</v>
      </c>
      <c r="F2289" s="1" cm="1">
        <f t="array" ref="F2289">SUMPRODUCT(([1]OUT_FinalEnergyCons!$B$4:$B$10000="var_ncap")*1, (ISNUMBER(SEARCH("ITOT-SWHH2BR",[1]OUT_FinalEnergyCons!$A$4:$A$10000)))*1,[1]OUT_FinalEnergyCons!D$4:D$10000)</f>
        <v>0</v>
      </c>
      <c r="G2289" s="1" cm="1">
        <f t="array" ref="G2289">SUMPRODUCT(([1]OUT_FinalEnergyCons!$B$4:$B$10000="var_ncap")*1, (ISNUMBER(SEARCH("ITOT-SWHH2BR",[1]OUT_FinalEnergyCons!$A$4:$A$10000)))*1,[1]OUT_FinalEnergyCons!E$4:E$10000)</f>
        <v>0</v>
      </c>
      <c r="H2289" s="1" cm="1">
        <f t="array" ref="H2289">SUMPRODUCT(([1]OUT_FinalEnergyCons!$B$4:$B$10000="var_ncap")*1, (ISNUMBER(SEARCH("ITOT-SWHH2BR",[1]OUT_FinalEnergyCons!$A$4:$A$10000)))*1,[1]OUT_FinalEnergyCons!F$4:F$10000)</f>
        <v>0</v>
      </c>
      <c r="I2289" s="1" cm="1">
        <f t="array" ref="I2289">SUMPRODUCT(([1]OUT_FinalEnergyCons!$B$4:$B$10000="var_ncap")*1, (ISNUMBER(SEARCH("ITOT-SWHH2BR",[1]OUT_FinalEnergyCons!$A$4:$A$10000)))*1,[1]OUT_FinalEnergyCons!G$4:G$10000)</f>
        <v>0</v>
      </c>
      <c r="J2289" s="1" cm="1">
        <f t="array" ref="J2289">SUMPRODUCT(([1]OUT_FinalEnergyCons!$B$4:$B$10000="var_ncap")*1, (ISNUMBER(SEARCH("ITOT-SWHH2BR",[1]OUT_FinalEnergyCons!$A$4:$A$10000)))*1,[1]OUT_FinalEnergyCons!H$4:H$10000)</f>
        <v>0.51939800975294304</v>
      </c>
      <c r="K2289" s="1" cm="1">
        <f t="array" ref="K2289">SUMPRODUCT(([1]OUT_FinalEnergyCons!$B$4:$B$10000="var_ncap")*1, (ISNUMBER(SEARCH("ITOT-SWHH2BR",[1]OUT_FinalEnergyCons!$A$4:$A$10000)))*1,[1]OUT_FinalEnergyCons!I$4:I$10000)</f>
        <v>0.82813089770229498</v>
      </c>
    </row>
    <row r="2290" spans="2:11" x14ac:dyDescent="0.35">
      <c r="B2290" s="9" t="str">
        <f t="shared" si="1323"/>
        <v>SPS2</v>
      </c>
      <c r="C2290" s="9" t="str">
        <f t="shared" si="1324"/>
        <v>CH</v>
      </c>
      <c r="D2290" s="2" t="s">
        <v>2195</v>
      </c>
      <c r="E2290" s="9" t="str">
        <f t="shared" si="1320"/>
        <v>GWth/yr.</v>
      </c>
      <c r="F2290" s="17">
        <f t="shared" ref="F2290:K2290" si="1349">SUM(F2291,F2294,F2296,F2300,F2302,F2304,F2306)</f>
        <v>8.3991937635753927E-5</v>
      </c>
      <c r="G2290" s="17">
        <f t="shared" si="1349"/>
        <v>3.3411590185156E-2</v>
      </c>
      <c r="H2290" s="17">
        <f t="shared" si="1349"/>
        <v>0.26617464440440375</v>
      </c>
      <c r="I2290" s="17">
        <f t="shared" si="1349"/>
        <v>0.52504191984095849</v>
      </c>
      <c r="J2290" s="17">
        <f t="shared" si="1349"/>
        <v>1.8439605930258578</v>
      </c>
      <c r="K2290" s="17">
        <f t="shared" si="1349"/>
        <v>1.9272882989190103</v>
      </c>
    </row>
    <row r="2291" spans="2:11" x14ac:dyDescent="0.35">
      <c r="B2291" s="5" t="str">
        <f t="shared" si="1323"/>
        <v>SPS2</v>
      </c>
      <c r="C2291" s="5" t="str">
        <f t="shared" si="1324"/>
        <v>CH</v>
      </c>
      <c r="D2291" t="s">
        <v>2435</v>
      </c>
      <c r="E2291" t="str">
        <f t="shared" si="1320"/>
        <v>GWth/yr.</v>
      </c>
      <c r="F2291" s="1">
        <f t="shared" ref="F2291:K2291" si="1350">SUM(F2292:F2293)</f>
        <v>6.2235261408051863E-6</v>
      </c>
      <c r="G2291" s="1">
        <f t="shared" si="1350"/>
        <v>3.717716268520939E-6</v>
      </c>
      <c r="H2291" s="1">
        <f t="shared" si="1350"/>
        <v>7.2957385471907896E-3</v>
      </c>
      <c r="I2291" s="1">
        <f t="shared" si="1350"/>
        <v>0.19016052935308719</v>
      </c>
      <c r="J2291" s="1">
        <f t="shared" si="1350"/>
        <v>0.501197279817853</v>
      </c>
      <c r="K2291" s="1">
        <f t="shared" si="1350"/>
        <v>0.79044382014445813</v>
      </c>
    </row>
    <row r="2292" spans="2:11" x14ac:dyDescent="0.35">
      <c r="B2292" s="5" t="str">
        <f t="shared" si="1323"/>
        <v>SPS2</v>
      </c>
      <c r="C2292" s="5" t="str">
        <f t="shared" si="1324"/>
        <v>CH</v>
      </c>
      <c r="D2292" t="s">
        <v>2436</v>
      </c>
      <c r="E2292" t="str">
        <f t="shared" si="1320"/>
        <v>GWth/yr.</v>
      </c>
      <c r="F2292" s="1" cm="1">
        <f t="array" ref="F2292">SUMPRODUCT(([1]OUT_FinalEnergyCons!$B$4:$B$10000="var_ncap")*1, (ISNUMBER(SEARCH("SCOM-SHELCBR",[1]OUT_FinalEnergyCons!$A$4:$A$10000)))*1,[1]OUT_FinalEnergyCons!D$4:D$10000)</f>
        <v>5.7922579830487003E-6</v>
      </c>
      <c r="G2292" s="1" cm="1">
        <f t="array" ref="G2292">SUMPRODUCT(([1]OUT_FinalEnergyCons!$B$4:$B$10000="var_ncap")*1, (ISNUMBER(SEARCH("SCOM-SHELCBR",[1]OUT_FinalEnergyCons!$A$4:$A$10000)))*1,[1]OUT_FinalEnergyCons!E$4:E$10000)</f>
        <v>3.0151680465088202E-6</v>
      </c>
      <c r="H2292" s="1" cm="1">
        <f t="array" ref="H2292">SUMPRODUCT(([1]OUT_FinalEnergyCons!$B$4:$B$10000="var_ncap")*1, (ISNUMBER(SEARCH("SCOM-SHELCBR",[1]OUT_FinalEnergyCons!$A$4:$A$10000)))*1,[1]OUT_FinalEnergyCons!F$4:F$10000)</f>
        <v>7.2934185420262202E-3</v>
      </c>
      <c r="I2292" s="1" cm="1">
        <f t="array" ref="I2292">SUMPRODUCT(([1]OUT_FinalEnergyCons!$B$4:$B$10000="var_ncap")*1, (ISNUMBER(SEARCH("SCOM-SHELCBR",[1]OUT_FinalEnergyCons!$A$4:$A$10000)))*1,[1]OUT_FinalEnergyCons!G$4:G$10000)</f>
        <v>5.5652183052053101E-6</v>
      </c>
      <c r="J2292" s="1" cm="1">
        <f t="array" ref="J2292">SUMPRODUCT(([1]OUT_FinalEnergyCons!$B$4:$B$10000="var_ncap")*1, (ISNUMBER(SEARCH("SCOM-SHELCBR",[1]OUT_FinalEnergyCons!$A$4:$A$10000)))*1,[1]OUT_FinalEnergyCons!H$4:H$10000)</f>
        <v>1.550346044696E-2</v>
      </c>
      <c r="K2292" s="1" cm="1">
        <f t="array" ref="K2292">SUMPRODUCT(([1]OUT_FinalEnergyCons!$B$4:$B$10000="var_ncap")*1, (ISNUMBER(SEARCH("SCOM-SHELCBR",[1]OUT_FinalEnergyCons!$A$4:$A$10000)))*1,[1]OUT_FinalEnergyCons!I$4:I$10000)</f>
        <v>9.0983440858121703E-5</v>
      </c>
    </row>
    <row r="2293" spans="2:11" x14ac:dyDescent="0.35">
      <c r="B2293" s="5" t="str">
        <f t="shared" si="1323"/>
        <v>SPS2</v>
      </c>
      <c r="C2293" s="5" t="str">
        <f t="shared" si="1324"/>
        <v>CH</v>
      </c>
      <c r="D2293" t="s">
        <v>2437</v>
      </c>
      <c r="E2293" t="str">
        <f t="shared" si="1320"/>
        <v>GWth/yr.</v>
      </c>
      <c r="F2293" s="1" cm="1">
        <f t="array" ref="F2293">SUMPRODUCT(([1]OUT_FinalEnergyCons!$B$4:$B$10000="var_ncap")*1, (ISNUMBER(SEARCH("SCOM-SHELCHP",[1]OUT_FinalEnergyCons!$A$4:$A$10000)))*1,[1]OUT_FinalEnergyCons!D$4:D$10000)</f>
        <v>4.3126815775648598E-7</v>
      </c>
      <c r="G2293" s="1" cm="1">
        <f t="array" ref="G2293">SUMPRODUCT(([1]OUT_FinalEnergyCons!$B$4:$B$10000="var_ncap")*1, (ISNUMBER(SEARCH("SCOM-SHELCHP",[1]OUT_FinalEnergyCons!$A$4:$A$10000)))*1,[1]OUT_FinalEnergyCons!E$4:E$10000)</f>
        <v>7.0254822201211899E-7</v>
      </c>
      <c r="H2293" s="1" cm="1">
        <f t="array" ref="H2293">SUMPRODUCT(([1]OUT_FinalEnergyCons!$B$4:$B$10000="var_ncap")*1, (ISNUMBER(SEARCH("SCOM-SHELCHP",[1]OUT_FinalEnergyCons!$A$4:$A$10000)))*1,[1]OUT_FinalEnergyCons!F$4:F$10000)</f>
        <v>2.3200051645692399E-6</v>
      </c>
      <c r="I2293" s="1" cm="1">
        <f t="array" ref="I2293">SUMPRODUCT(([1]OUT_FinalEnergyCons!$B$4:$B$10000="var_ncap")*1, (ISNUMBER(SEARCH("SCOM-SHELCHP",[1]OUT_FinalEnergyCons!$A$4:$A$10000)))*1,[1]OUT_FinalEnergyCons!G$4:G$10000)</f>
        <v>0.190154964134782</v>
      </c>
      <c r="J2293" s="1" cm="1">
        <f t="array" ref="J2293">SUMPRODUCT(([1]OUT_FinalEnergyCons!$B$4:$B$10000="var_ncap")*1, (ISNUMBER(SEARCH("SCOM-SHELCHP",[1]OUT_FinalEnergyCons!$A$4:$A$10000)))*1,[1]OUT_FinalEnergyCons!H$4:H$10000)</f>
        <v>0.48569381937089301</v>
      </c>
      <c r="K2293" s="1" cm="1">
        <f t="array" ref="K2293">SUMPRODUCT(([1]OUT_FinalEnergyCons!$B$4:$B$10000="var_ncap")*1, (ISNUMBER(SEARCH("SCOM-SHELCHP",[1]OUT_FinalEnergyCons!$A$4:$A$10000)))*1,[1]OUT_FinalEnergyCons!I$4:I$10000)</f>
        <v>0.79035283670360001</v>
      </c>
    </row>
    <row r="2294" spans="2:11" x14ac:dyDescent="0.35">
      <c r="B2294" s="5" t="str">
        <f t="shared" si="1323"/>
        <v>SPS2</v>
      </c>
      <c r="C2294" s="5" t="str">
        <f t="shared" si="1324"/>
        <v>CH</v>
      </c>
      <c r="D2294" t="s">
        <v>2438</v>
      </c>
      <c r="E2294" t="str">
        <f t="shared" si="1320"/>
        <v>GWth/yr.</v>
      </c>
      <c r="F2294" s="1">
        <f t="shared" ref="F2294:K2294" si="1351">F2295</f>
        <v>5.5359218769514204E-6</v>
      </c>
      <c r="G2294" s="1">
        <f t="shared" si="1351"/>
        <v>2.2171140292439602E-6</v>
      </c>
      <c r="H2294" s="1">
        <f t="shared" si="1351"/>
        <v>1.4845847394388401E-6</v>
      </c>
      <c r="I2294" s="1">
        <f t="shared" si="1351"/>
        <v>2.6586469301853698E-6</v>
      </c>
      <c r="J2294" s="1">
        <f t="shared" si="1351"/>
        <v>1.26890378759291E-5</v>
      </c>
      <c r="K2294" s="1">
        <f t="shared" si="1351"/>
        <v>7.9682188673660105E-7</v>
      </c>
    </row>
    <row r="2295" spans="2:11" x14ac:dyDescent="0.35">
      <c r="B2295" s="5" t="str">
        <f t="shared" si="1323"/>
        <v>SPS2</v>
      </c>
      <c r="C2295" s="5" t="str">
        <f t="shared" si="1324"/>
        <v>CH</v>
      </c>
      <c r="D2295" t="s">
        <v>2439</v>
      </c>
      <c r="E2295" t="str">
        <f t="shared" ref="E2295:E2307" si="1352">E2294</f>
        <v>GWth/yr.</v>
      </c>
      <c r="F2295" s="1" cm="1">
        <f t="array" ref="F2295">SUMPRODUCT(([1]OUT_FinalEnergyCons!$B$4:$B$10000="var_ncap")*1,(ISNUMBER(SEARCH("SCOM-SHLFOBR",[1]OUT_FinalEnergyCons!$A$4:$A$10000)))*1,[1]OUT_FinalEnergyCons!D$4:D$10000)</f>
        <v>5.5359218769514204E-6</v>
      </c>
      <c r="G2295" s="1" cm="1">
        <f t="array" ref="G2295">SUMPRODUCT(([1]OUT_FinalEnergyCons!$B$4:$B$10000="var_ncap")*1,(ISNUMBER(SEARCH("SCOM-SHLFOBR",[1]OUT_FinalEnergyCons!$A$4:$A$10000)))*1,[1]OUT_FinalEnergyCons!E$4:E$10000)</f>
        <v>2.2171140292439602E-6</v>
      </c>
      <c r="H2295" s="1" cm="1">
        <f t="array" ref="H2295">SUMPRODUCT(([1]OUT_FinalEnergyCons!$B$4:$B$10000="var_ncap")*1,(ISNUMBER(SEARCH("SCOM-SHLFOBR",[1]OUT_FinalEnergyCons!$A$4:$A$10000)))*1,[1]OUT_FinalEnergyCons!F$4:F$10000)</f>
        <v>1.4845847394388401E-6</v>
      </c>
      <c r="I2295" s="1" cm="1">
        <f t="array" ref="I2295">SUMPRODUCT(([1]OUT_FinalEnergyCons!$B$4:$B$10000="var_ncap")*1,(ISNUMBER(SEARCH("SCOM-SHLFOBR",[1]OUT_FinalEnergyCons!$A$4:$A$10000)))*1,[1]OUT_FinalEnergyCons!G$4:G$10000)</f>
        <v>2.6586469301853698E-6</v>
      </c>
      <c r="J2295" s="1" cm="1">
        <f t="array" ref="J2295">SUMPRODUCT(([1]OUT_FinalEnergyCons!$B$4:$B$10000="var_ncap")*1,(ISNUMBER(SEARCH("SCOM-SHLFOBR",[1]OUT_FinalEnergyCons!$A$4:$A$10000)))*1,[1]OUT_FinalEnergyCons!H$4:H$10000)</f>
        <v>1.26890378759291E-5</v>
      </c>
      <c r="K2295" s="1" cm="1">
        <f t="array" ref="K2295">SUMPRODUCT(([1]OUT_FinalEnergyCons!$B$4:$B$10000="var_ncap")*1,(ISNUMBER(SEARCH("SCOM-SHLFOBR",[1]OUT_FinalEnergyCons!$A$4:$A$10000)))*1,[1]OUT_FinalEnergyCons!I$4:I$10000)</f>
        <v>7.9682188673660105E-7</v>
      </c>
    </row>
    <row r="2296" spans="2:11" x14ac:dyDescent="0.35">
      <c r="B2296" s="5" t="str">
        <f t="shared" si="1323"/>
        <v>SPS2</v>
      </c>
      <c r="C2296" s="5" t="str">
        <f t="shared" si="1324"/>
        <v>CH</v>
      </c>
      <c r="D2296" t="s">
        <v>2440</v>
      </c>
      <c r="E2296" t="str">
        <f t="shared" si="1352"/>
        <v>GWth/yr.</v>
      </c>
      <c r="F2296" s="1">
        <f t="shared" ref="F2296:K2296" si="1353">SUM(F2297:F2299)</f>
        <v>4.2232835616438347E-6</v>
      </c>
      <c r="G2296" s="1">
        <f t="shared" si="1353"/>
        <v>1.4770751493403043E-4</v>
      </c>
      <c r="H2296" s="1">
        <f t="shared" si="1353"/>
        <v>0.18723625167901609</v>
      </c>
      <c r="I2296" s="1">
        <f t="shared" si="1353"/>
        <v>0.33486034203088355</v>
      </c>
      <c r="J2296" s="1">
        <f t="shared" si="1353"/>
        <v>0.45954822332479639</v>
      </c>
      <c r="K2296" s="1">
        <f t="shared" si="1353"/>
        <v>0.50456877011098822</v>
      </c>
    </row>
    <row r="2297" spans="2:11" x14ac:dyDescent="0.35">
      <c r="B2297" s="5" t="str">
        <f t="shared" si="1323"/>
        <v>SPS2</v>
      </c>
      <c r="C2297" s="5" t="str">
        <f t="shared" si="1324"/>
        <v>CH</v>
      </c>
      <c r="D2297" t="s">
        <v>2441</v>
      </c>
      <c r="E2297" t="str">
        <f t="shared" si="1352"/>
        <v>GWth/yr.</v>
      </c>
      <c r="F2297" s="1" cm="1">
        <f t="array" ref="F2297">SUMPRODUCT(([1]OUT_FinalEnergyCons!$B$4:$B$10000="var_ncap")*1, (ISNUMBER(SEARCH("SCOM-SHNGABR",[1]OUT_FinalEnergyCons!$A$4:$A$10000)))*1,[1]OUT_FinalEnergyCons!D$4:D$10000)</f>
        <v>5.1171469486592501E-7</v>
      </c>
      <c r="G2297" s="1" cm="1">
        <f t="array" ref="G2297">SUMPRODUCT(([1]OUT_FinalEnergyCons!$B$4:$B$10000="var_ncap")*1, (ISNUMBER(SEARCH("SCOM-SHNGABR",[1]OUT_FinalEnergyCons!$A$4:$A$10000)))*1,[1]OUT_FinalEnergyCons!E$4:E$10000)</f>
        <v>2.1015069479008501E-6</v>
      </c>
      <c r="H2297" s="1" cm="1">
        <f t="array" ref="H2297">SUMPRODUCT(([1]OUT_FinalEnergyCons!$B$4:$B$10000="var_ncap")*1, (ISNUMBER(SEARCH("SCOM-SHNGABR",[1]OUT_FinalEnergyCons!$A$4:$A$10000)))*1,[1]OUT_FinalEnergyCons!F$4:F$10000)</f>
        <v>1.70280719217403E-6</v>
      </c>
      <c r="I2297" s="1" cm="1">
        <f t="array" ref="I2297">SUMPRODUCT(([1]OUT_FinalEnergyCons!$B$4:$B$10000="var_ncap")*1, (ISNUMBER(SEARCH("SCOM-SHNGABR",[1]OUT_FinalEnergyCons!$A$4:$A$10000)))*1,[1]OUT_FinalEnergyCons!G$4:G$10000)</f>
        <v>3.0390251760383298E-6</v>
      </c>
      <c r="J2297" s="1" cm="1">
        <f t="array" ref="J2297">SUMPRODUCT(([1]OUT_FinalEnergyCons!$B$4:$B$10000="var_ncap")*1, (ISNUMBER(SEARCH("SCOM-SHNGABR",[1]OUT_FinalEnergyCons!$A$4:$A$10000)))*1,[1]OUT_FinalEnergyCons!H$4:H$10000)</f>
        <v>1.8931469318339301E-4</v>
      </c>
      <c r="K2297" s="1" cm="1">
        <f t="array" ref="K2297">SUMPRODUCT(([1]OUT_FinalEnergyCons!$B$4:$B$10000="var_ncap")*1, (ISNUMBER(SEARCH("SCOM-SHNGABR",[1]OUT_FinalEnergyCons!$A$4:$A$10000)))*1,[1]OUT_FinalEnergyCons!I$4:I$10000)</f>
        <v>1.4272923625908799E-5</v>
      </c>
    </row>
    <row r="2298" spans="2:11" x14ac:dyDescent="0.35">
      <c r="B2298" s="5" t="str">
        <f t="shared" si="1323"/>
        <v>SPS2</v>
      </c>
      <c r="C2298" s="5" t="str">
        <f t="shared" si="1324"/>
        <v>CH</v>
      </c>
      <c r="D2298" t="s">
        <v>2442</v>
      </c>
      <c r="E2298" t="str">
        <f t="shared" si="1352"/>
        <v>GWth/yr.</v>
      </c>
      <c r="F2298" s="1" cm="1">
        <f t="array" ref="F2298">SUMPRODUCT(([1]OUT_FinalEnergyCons!$B$4:$B$10000="var_ncap")*1, (ISNUMBER(SEARCH("SCOM-SHngahp",[1]OUT_FinalEnergyCons!$A$4:$A$10000)))*1,[1]OUT_FinalEnergyCons!D$4:D$10000)</f>
        <v>1.2780385426138199E-6</v>
      </c>
      <c r="G2298" s="1" cm="1">
        <f t="array" ref="G2298">SUMPRODUCT(([1]OUT_FinalEnergyCons!$B$4:$B$10000="var_ncap")*1, (ISNUMBER(SEARCH("SCOM-SHngahp",[1]OUT_FinalEnergyCons!$A$4:$A$10000)))*1,[1]OUT_FinalEnergyCons!E$4:E$10000)</f>
        <v>1.21489140741819E-4</v>
      </c>
      <c r="H2298" s="1" cm="1">
        <f t="array" ref="H2298">SUMPRODUCT(([1]OUT_FinalEnergyCons!$B$4:$B$10000="var_ncap")*1, (ISNUMBER(SEARCH("SCOM-SHngahp",[1]OUT_FinalEnergyCons!$A$4:$A$10000)))*1,[1]OUT_FinalEnergyCons!F$4:F$10000)</f>
        <v>0.18723300510419799</v>
      </c>
      <c r="I2298" s="1" cm="1">
        <f t="array" ref="I2298">SUMPRODUCT(([1]OUT_FinalEnergyCons!$B$4:$B$10000="var_ncap")*1, (ISNUMBER(SEARCH("SCOM-SHngahp",[1]OUT_FinalEnergyCons!$A$4:$A$10000)))*1,[1]OUT_FinalEnergyCons!G$4:G$10000)</f>
        <v>0.334855236077166</v>
      </c>
      <c r="J2298" s="1" cm="1">
        <f t="array" ref="J2298">SUMPRODUCT(([1]OUT_FinalEnergyCons!$B$4:$B$10000="var_ncap")*1, (ISNUMBER(SEARCH("SCOM-SHngahp",[1]OUT_FinalEnergyCons!$A$4:$A$10000)))*1,[1]OUT_FinalEnergyCons!H$4:H$10000)</f>
        <v>0.459184532182279</v>
      </c>
      <c r="K2298" s="1" cm="1">
        <f t="array" ref="K2298">SUMPRODUCT(([1]OUT_FinalEnergyCons!$B$4:$B$10000="var_ncap")*1, (ISNUMBER(SEARCH("SCOM-SHngahp",[1]OUT_FinalEnergyCons!$A$4:$A$10000)))*1,[1]OUT_FinalEnergyCons!I$4:I$10000)</f>
        <v>0.50448675264170795</v>
      </c>
    </row>
    <row r="2299" spans="2:11" x14ac:dyDescent="0.35">
      <c r="B2299" s="5" t="str">
        <f t="shared" si="1323"/>
        <v>SPS2</v>
      </c>
      <c r="C2299" s="5" t="str">
        <f t="shared" si="1324"/>
        <v>CH</v>
      </c>
      <c r="D2299" t="s">
        <v>2443</v>
      </c>
      <c r="E2299" t="str">
        <f t="shared" si="1352"/>
        <v>GWth/yr.</v>
      </c>
      <c r="F2299" s="1" cm="1">
        <f t="array" ref="F2299">SUMPRODUCT(([1]OUT_FinalEnergyCons!$B$4:$B$10000="var_ncap")*1, (("SCOM-SHBIOBR"=[1]OUT_FinalEnergyCons!$A$4:$A$10000)*1+("SCOM-SHBNGABR"=[1]OUT_FinalEnergyCons!$A$4:$A$10000)*1),[1]OUT_FinalEnergyCons!D$4:D$10000)</f>
        <v>2.4335303241640902E-6</v>
      </c>
      <c r="G2299" s="1" cm="1">
        <f t="array" ref="G2299">SUMPRODUCT(([1]OUT_FinalEnergyCons!$B$4:$B$10000="var_ncap")*1, (("SCOM-SHBIOBR"=[1]OUT_FinalEnergyCons!$A$4:$A$10000)*1+("SCOM-SHBNGABR"=[1]OUT_FinalEnergyCons!$A$4:$A$10000)*1),[1]OUT_FinalEnergyCons!E$4:E$10000)</f>
        <v>2.41168672443106E-5</v>
      </c>
      <c r="H2299" s="1" cm="1">
        <f t="array" ref="H2299">SUMPRODUCT(([1]OUT_FinalEnergyCons!$B$4:$B$10000="var_ncap")*1, (("SCOM-SHBIOBR"=[1]OUT_FinalEnergyCons!$A$4:$A$10000)*1+("SCOM-SHBNGABR"=[1]OUT_FinalEnergyCons!$A$4:$A$10000)*1),[1]OUT_FinalEnergyCons!F$4:F$10000)</f>
        <v>1.54376762593316E-6</v>
      </c>
      <c r="I2299" s="1" cm="1">
        <f t="array" ref="I2299">SUMPRODUCT(([1]OUT_FinalEnergyCons!$B$4:$B$10000="var_ncap")*1, (("SCOM-SHBIOBR"=[1]OUT_FinalEnergyCons!$A$4:$A$10000)*1+("SCOM-SHBNGABR"=[1]OUT_FinalEnergyCons!$A$4:$A$10000)*1),[1]OUT_FinalEnergyCons!G$4:G$10000)</f>
        <v>2.0669285414893501E-6</v>
      </c>
      <c r="J2299" s="1" cm="1">
        <f t="array" ref="J2299">SUMPRODUCT(([1]OUT_FinalEnergyCons!$B$4:$B$10000="var_ncap")*1, (("SCOM-SHBIOBR"=[1]OUT_FinalEnergyCons!$A$4:$A$10000)*1+("SCOM-SHBNGABR"=[1]OUT_FinalEnergyCons!$A$4:$A$10000)*1),[1]OUT_FinalEnergyCons!H$4:H$10000)</f>
        <v>1.74376449333979E-4</v>
      </c>
      <c r="K2299" s="1" cm="1">
        <f t="array" ref="K2299">SUMPRODUCT(([1]OUT_FinalEnergyCons!$B$4:$B$10000="var_ncap")*1, (("SCOM-SHBIOBR"=[1]OUT_FinalEnergyCons!$A$4:$A$10000)*1+("SCOM-SHBNGABR"=[1]OUT_FinalEnergyCons!$A$4:$A$10000)*1),[1]OUT_FinalEnergyCons!I$4:I$10000)</f>
        <v>6.7744545654356396E-5</v>
      </c>
    </row>
    <row r="2300" spans="2:11" x14ac:dyDescent="0.35">
      <c r="B2300" s="5" t="str">
        <f t="shared" si="1323"/>
        <v>SPS2</v>
      </c>
      <c r="C2300" s="5" t="str">
        <f t="shared" si="1324"/>
        <v>CH</v>
      </c>
      <c r="D2300" t="s">
        <v>2444</v>
      </c>
      <c r="E2300" t="str">
        <f t="shared" si="1352"/>
        <v>GWth/yr.</v>
      </c>
      <c r="F2300" s="1">
        <f t="shared" ref="F2300:K2300" si="1354">F2301</f>
        <v>1.03130495278186E-5</v>
      </c>
      <c r="G2300" s="1">
        <f t="shared" si="1354"/>
        <v>5.9003618522938404E-6</v>
      </c>
      <c r="H2300" s="1">
        <f t="shared" si="1354"/>
        <v>7.1638008793067295E-2</v>
      </c>
      <c r="I2300" s="1">
        <f t="shared" si="1354"/>
        <v>3.8810637313676096E-6</v>
      </c>
      <c r="J2300" s="1">
        <f t="shared" si="1354"/>
        <v>0.11484340321750799</v>
      </c>
      <c r="K2300" s="1">
        <f t="shared" si="1354"/>
        <v>8.0179361870962196E-2</v>
      </c>
    </row>
    <row r="2301" spans="2:11" x14ac:dyDescent="0.35">
      <c r="B2301" s="5" t="str">
        <f t="shared" si="1323"/>
        <v>SPS2</v>
      </c>
      <c r="C2301" s="5" t="str">
        <f t="shared" si="1324"/>
        <v>CH</v>
      </c>
      <c r="D2301" t="s">
        <v>2445</v>
      </c>
      <c r="E2301" t="str">
        <f t="shared" si="1352"/>
        <v>GWth/yr.</v>
      </c>
      <c r="F2301" s="1" cm="1">
        <f t="array" ref="F2301">SUMPRODUCT(([1]OUT_FinalEnergyCons!$B$4:$B$10000="var_ncap")*1, (ISNUMBER(SEARCH("SCOM-SHWODBR",[1]OUT_FinalEnergyCons!$A$4:$A$10000)))*1,[1]OUT_FinalEnergyCons!D$4:D$10000)</f>
        <v>1.03130495278186E-5</v>
      </c>
      <c r="G2301" s="1" cm="1">
        <f t="array" ref="G2301">SUMPRODUCT(([1]OUT_FinalEnergyCons!$B$4:$B$10000="var_ncap")*1, (ISNUMBER(SEARCH("SCOM-SHWODBR",[1]OUT_FinalEnergyCons!$A$4:$A$10000)))*1,[1]OUT_FinalEnergyCons!E$4:E$10000)</f>
        <v>5.9003618522938404E-6</v>
      </c>
      <c r="H2301" s="1" cm="1">
        <f t="array" ref="H2301">SUMPRODUCT(([1]OUT_FinalEnergyCons!$B$4:$B$10000="var_ncap")*1, (ISNUMBER(SEARCH("SCOM-SHWODBR",[1]OUT_FinalEnergyCons!$A$4:$A$10000)))*1,[1]OUT_FinalEnergyCons!F$4:F$10000)</f>
        <v>7.1638008793067295E-2</v>
      </c>
      <c r="I2301" s="1" cm="1">
        <f t="array" ref="I2301">SUMPRODUCT(([1]OUT_FinalEnergyCons!$B$4:$B$10000="var_ncap")*1, (ISNUMBER(SEARCH("SCOM-SHWODBR",[1]OUT_FinalEnergyCons!$A$4:$A$10000)))*1,[1]OUT_FinalEnergyCons!G$4:G$10000)</f>
        <v>3.8810637313676096E-6</v>
      </c>
      <c r="J2301" s="1" cm="1">
        <f t="array" ref="J2301">SUMPRODUCT(([1]OUT_FinalEnergyCons!$B$4:$B$10000="var_ncap")*1, (ISNUMBER(SEARCH("SCOM-SHWODBR",[1]OUT_FinalEnergyCons!$A$4:$A$10000)))*1,[1]OUT_FinalEnergyCons!H$4:H$10000)</f>
        <v>0.11484340321750799</v>
      </c>
      <c r="K2301" s="1" cm="1">
        <f t="array" ref="K2301">SUMPRODUCT(([1]OUT_FinalEnergyCons!$B$4:$B$10000="var_ncap")*1, (ISNUMBER(SEARCH("SCOM-SHWODBR",[1]OUT_FinalEnergyCons!$A$4:$A$10000)))*1,[1]OUT_FinalEnergyCons!I$4:I$10000)</f>
        <v>8.0179361870962196E-2</v>
      </c>
    </row>
    <row r="2302" spans="2:11" x14ac:dyDescent="0.35">
      <c r="B2302" s="5" t="str">
        <f t="shared" ref="B2302:B2335" si="1355">B2301</f>
        <v>SPS2</v>
      </c>
      <c r="C2302" s="5" t="str">
        <f t="shared" ref="C2302:C2335" si="1356">C2301</f>
        <v>CH</v>
      </c>
      <c r="D2302" t="s">
        <v>2446</v>
      </c>
      <c r="E2302" t="str">
        <f t="shared" si="1352"/>
        <v>GWth/yr.</v>
      </c>
      <c r="F2302" s="1">
        <f t="shared" ref="F2302:K2302" si="1357">F2303</f>
        <v>3.51860734625879E-6</v>
      </c>
      <c r="G2302" s="1">
        <f t="shared" si="1357"/>
        <v>2.4485454647817401E-2</v>
      </c>
      <c r="H2302" s="1">
        <f t="shared" si="1357"/>
        <v>8.6534813317958698E-7</v>
      </c>
      <c r="I2302" s="1">
        <f t="shared" si="1357"/>
        <v>6.7065798668122401E-6</v>
      </c>
      <c r="J2302" s="1">
        <f t="shared" si="1357"/>
        <v>3.53446904575676E-2</v>
      </c>
      <c r="K2302" s="1">
        <f t="shared" si="1357"/>
        <v>2.54829748421544E-2</v>
      </c>
    </row>
    <row r="2303" spans="2:11" x14ac:dyDescent="0.35">
      <c r="B2303" s="5" t="str">
        <f t="shared" si="1355"/>
        <v>SPS2</v>
      </c>
      <c r="C2303" s="5" t="str">
        <f t="shared" si="1356"/>
        <v>CH</v>
      </c>
      <c r="D2303" t="s">
        <v>2447</v>
      </c>
      <c r="E2303" t="str">
        <f t="shared" si="1352"/>
        <v>GWth/yr.</v>
      </c>
      <c r="F2303" s="1" cm="1">
        <f t="array" ref="F2303">SUMPRODUCT(([1]OUT_FinalEnergyCons!$B$4:$B$10000="var_ncap")*1,(ISNUMBER(SEARCH("SCOM-SHPLTBR",[1]OUT_FinalEnergyCons!$A$4:$A$10000)))*1,[1]OUT_FinalEnergyCons!D$4:D$10000)</f>
        <v>3.51860734625879E-6</v>
      </c>
      <c r="G2303" s="1" cm="1">
        <f t="array" ref="G2303">SUMPRODUCT(([1]OUT_FinalEnergyCons!$B$4:$B$10000="var_ncap")*1,(ISNUMBER(SEARCH("SCOM-SHPLTBR",[1]OUT_FinalEnergyCons!$A$4:$A$10000)))*1,[1]OUT_FinalEnergyCons!E$4:E$10000)</f>
        <v>2.4485454647817401E-2</v>
      </c>
      <c r="H2303" s="1" cm="1">
        <f t="array" ref="H2303">SUMPRODUCT(([1]OUT_FinalEnergyCons!$B$4:$B$10000="var_ncap")*1,(ISNUMBER(SEARCH("SCOM-SHPLTBR",[1]OUT_FinalEnergyCons!$A$4:$A$10000)))*1,[1]OUT_FinalEnergyCons!F$4:F$10000)</f>
        <v>8.6534813317958698E-7</v>
      </c>
      <c r="I2303" s="1" cm="1">
        <f t="array" ref="I2303">SUMPRODUCT(([1]OUT_FinalEnergyCons!$B$4:$B$10000="var_ncap")*1,(ISNUMBER(SEARCH("SCOM-SHPLTBR",[1]OUT_FinalEnergyCons!$A$4:$A$10000)))*1,[1]OUT_FinalEnergyCons!G$4:G$10000)</f>
        <v>6.7065798668122401E-6</v>
      </c>
      <c r="J2303" s="1" cm="1">
        <f t="array" ref="J2303">SUMPRODUCT(([1]OUT_FinalEnergyCons!$B$4:$B$10000="var_ncap")*1,(ISNUMBER(SEARCH("SCOM-SHPLTBR",[1]OUT_FinalEnergyCons!$A$4:$A$10000)))*1,[1]OUT_FinalEnergyCons!H$4:H$10000)</f>
        <v>3.53446904575676E-2</v>
      </c>
      <c r="K2303" s="1" cm="1">
        <f t="array" ref="K2303">SUMPRODUCT(([1]OUT_FinalEnergyCons!$B$4:$B$10000="var_ncap")*1,(ISNUMBER(SEARCH("SCOM-SHPLTBR",[1]OUT_FinalEnergyCons!$A$4:$A$10000)))*1,[1]OUT_FinalEnergyCons!I$4:I$10000)</f>
        <v>2.54829748421544E-2</v>
      </c>
    </row>
    <row r="2304" spans="2:11" x14ac:dyDescent="0.35">
      <c r="B2304" s="5" t="str">
        <f t="shared" si="1355"/>
        <v>SPS2</v>
      </c>
      <c r="C2304" s="5" t="str">
        <f t="shared" si="1356"/>
        <v>CH</v>
      </c>
      <c r="D2304" t="s">
        <v>2448</v>
      </c>
      <c r="E2304" t="str">
        <f t="shared" si="1352"/>
        <v>GWth/yr.</v>
      </c>
      <c r="F2304" s="1">
        <f t="shared" ref="F2304:K2304" si="1358">F2305</f>
        <v>5.4177549182276098E-5</v>
      </c>
      <c r="G2304" s="1">
        <f t="shared" si="1358"/>
        <v>8.7665928302545094E-3</v>
      </c>
      <c r="H2304" s="1">
        <f t="shared" si="1358"/>
        <v>2.2954522569471699E-6</v>
      </c>
      <c r="I2304" s="1">
        <f t="shared" si="1358"/>
        <v>5.7309838312585697E-6</v>
      </c>
      <c r="J2304" s="1">
        <f t="shared" si="1358"/>
        <v>4.5450031438320798E-2</v>
      </c>
      <c r="K2304" s="1">
        <f t="shared" si="1358"/>
        <v>6.0801890059380803E-2</v>
      </c>
    </row>
    <row r="2305" spans="2:11" x14ac:dyDescent="0.35">
      <c r="B2305" s="5" t="str">
        <f t="shared" si="1355"/>
        <v>SPS2</v>
      </c>
      <c r="C2305" s="5" t="str">
        <f t="shared" si="1356"/>
        <v>CH</v>
      </c>
      <c r="D2305" t="s">
        <v>2449</v>
      </c>
      <c r="E2305" t="str">
        <f t="shared" si="1352"/>
        <v>GWth/yr.</v>
      </c>
      <c r="F2305" s="1" cm="1">
        <f t="array" ref="F2305">SUMPRODUCT(([1]OUT_FinalEnergyCons!$B$4:$B$10000="var_ncap")*1, (ISNUMBER(SEARCH("SCOM-SHSOLBR",[1]OUT_FinalEnergyCons!$A$4:$A$10000)))*1,[1]OUT_FinalEnergyCons!D$4:D$10000)</f>
        <v>5.4177549182276098E-5</v>
      </c>
      <c r="G2305" s="1" cm="1">
        <f t="array" ref="G2305">SUMPRODUCT(([1]OUT_FinalEnergyCons!$B$4:$B$10000="var_ncap")*1, (ISNUMBER(SEARCH("SCOM-SHSOLBR",[1]OUT_FinalEnergyCons!$A$4:$A$10000)))*1,[1]OUT_FinalEnergyCons!E$4:E$10000)</f>
        <v>8.7665928302545094E-3</v>
      </c>
      <c r="H2305" s="1" cm="1">
        <f t="array" ref="H2305">SUMPRODUCT(([1]OUT_FinalEnergyCons!$B$4:$B$10000="var_ncap")*1, (ISNUMBER(SEARCH("SCOM-SHSOLBR",[1]OUT_FinalEnergyCons!$A$4:$A$10000)))*1,[1]OUT_FinalEnergyCons!F$4:F$10000)</f>
        <v>2.2954522569471699E-6</v>
      </c>
      <c r="I2305" s="1" cm="1">
        <f t="array" ref="I2305">SUMPRODUCT(([1]OUT_FinalEnergyCons!$B$4:$B$10000="var_ncap")*1, (ISNUMBER(SEARCH("SCOM-SHSOLBR",[1]OUT_FinalEnergyCons!$A$4:$A$10000)))*1,[1]OUT_FinalEnergyCons!G$4:G$10000)</f>
        <v>5.7309838312585697E-6</v>
      </c>
      <c r="J2305" s="1" cm="1">
        <f t="array" ref="J2305">SUMPRODUCT(([1]OUT_FinalEnergyCons!$B$4:$B$10000="var_ncap")*1, (ISNUMBER(SEARCH("SCOM-SHSOLBR",[1]OUT_FinalEnergyCons!$A$4:$A$10000)))*1,[1]OUT_FinalEnergyCons!H$4:H$10000)</f>
        <v>4.5450031438320798E-2</v>
      </c>
      <c r="K2305" s="1" cm="1">
        <f t="array" ref="K2305">SUMPRODUCT(([1]OUT_FinalEnergyCons!$B$4:$B$10000="var_ncap")*1, (ISNUMBER(SEARCH("SCOM-SHSOLBR",[1]OUT_FinalEnergyCons!$A$4:$A$10000)))*1,[1]OUT_FinalEnergyCons!I$4:I$10000)</f>
        <v>6.0801890059380803E-2</v>
      </c>
    </row>
    <row r="2306" spans="2:11" x14ac:dyDescent="0.35">
      <c r="B2306" s="5" t="str">
        <f t="shared" si="1355"/>
        <v>SPS2</v>
      </c>
      <c r="C2306" s="5" t="str">
        <f t="shared" si="1356"/>
        <v>CH</v>
      </c>
      <c r="D2306" t="s">
        <v>2450</v>
      </c>
      <c r="E2306" t="str">
        <f t="shared" si="1352"/>
        <v>GWth/yr.</v>
      </c>
      <c r="F2306" s="1">
        <f t="shared" ref="F2306:K2306" si="1359">F2307</f>
        <v>0</v>
      </c>
      <c r="G2306" s="1">
        <f t="shared" si="1359"/>
        <v>0</v>
      </c>
      <c r="H2306" s="1">
        <f t="shared" si="1359"/>
        <v>0</v>
      </c>
      <c r="I2306" s="1">
        <f t="shared" si="1359"/>
        <v>2.0711826280466299E-6</v>
      </c>
      <c r="J2306" s="1">
        <f t="shared" si="1359"/>
        <v>0.68756427573193601</v>
      </c>
      <c r="K2306" s="1">
        <f t="shared" si="1359"/>
        <v>0.46581068506918</v>
      </c>
    </row>
    <row r="2307" spans="2:11" x14ac:dyDescent="0.35">
      <c r="B2307" s="5" t="str">
        <f t="shared" si="1355"/>
        <v>SPS2</v>
      </c>
      <c r="C2307" s="5" t="str">
        <f t="shared" si="1356"/>
        <v>CH</v>
      </c>
      <c r="D2307" t="s">
        <v>2451</v>
      </c>
      <c r="E2307" t="str">
        <f t="shared" si="1352"/>
        <v>GWth/yr.</v>
      </c>
      <c r="F2307" s="1" cm="1">
        <f t="array" ref="F2307">SUMPRODUCT(([1]OUT_FinalEnergyCons!$B$4:$B$10000="var_ncap")*1, (ISNUMBER(SEARCH("SCOM-SHH2BR",[1]OUT_FinalEnergyCons!$A$4:$A$10000)))*1,[1]OUT_FinalEnergyCons!D$4:D$10000)</f>
        <v>0</v>
      </c>
      <c r="G2307" s="1" cm="1">
        <f t="array" ref="G2307">SUMPRODUCT(([1]OUT_FinalEnergyCons!$B$4:$B$10000="var_ncap")*1, (ISNUMBER(SEARCH("SCOM-SHH2BR",[1]OUT_FinalEnergyCons!$A$4:$A$10000)))*1,[1]OUT_FinalEnergyCons!E$4:E$10000)</f>
        <v>0</v>
      </c>
      <c r="H2307" s="1" cm="1">
        <f t="array" ref="H2307">SUMPRODUCT(([1]OUT_FinalEnergyCons!$B$4:$B$10000="var_ncap")*1, (ISNUMBER(SEARCH("SCOM-SHH2BR",[1]OUT_FinalEnergyCons!$A$4:$A$10000)))*1,[1]OUT_FinalEnergyCons!F$4:F$10000)</f>
        <v>0</v>
      </c>
      <c r="I2307" s="1" cm="1">
        <f t="array" ref="I2307">SUMPRODUCT(([1]OUT_FinalEnergyCons!$B$4:$B$10000="var_ncap")*1, (ISNUMBER(SEARCH("SCOM-SHH2BR",[1]OUT_FinalEnergyCons!$A$4:$A$10000)))*1,[1]OUT_FinalEnergyCons!G$4:G$10000)</f>
        <v>2.0711826280466299E-6</v>
      </c>
      <c r="J2307" s="1" cm="1">
        <f t="array" ref="J2307">SUMPRODUCT(([1]OUT_FinalEnergyCons!$B$4:$B$10000="var_ncap")*1, (ISNUMBER(SEARCH("SCOM-SHH2BR",[1]OUT_FinalEnergyCons!$A$4:$A$10000)))*1,[1]OUT_FinalEnergyCons!H$4:H$10000)</f>
        <v>0.68756427573193601</v>
      </c>
      <c r="K2307" s="1" cm="1">
        <f t="array" ref="K2307">SUMPRODUCT(([1]OUT_FinalEnergyCons!$B$4:$B$10000="var_ncap")*1, (ISNUMBER(SEARCH("SCOM-SHH2BR",[1]OUT_FinalEnergyCons!$A$4:$A$10000)))*1,[1]OUT_FinalEnergyCons!I$4:I$10000)</f>
        <v>0.46581068506918</v>
      </c>
    </row>
    <row r="2308" spans="2:11" x14ac:dyDescent="0.35">
      <c r="B2308" s="5" t="str">
        <f t="shared" si="1355"/>
        <v>SPS2</v>
      </c>
      <c r="C2308" s="5" t="str">
        <f t="shared" si="1356"/>
        <v>CH</v>
      </c>
      <c r="D2308" s="2" t="s">
        <v>2196</v>
      </c>
      <c r="E2308" s="2" t="s">
        <v>2155</v>
      </c>
      <c r="F2308" s="3">
        <f t="shared" ref="F2308:K2308" si="1360">SUM(F2309,F2313,F2316)</f>
        <v>5.2409005827806397E-4</v>
      </c>
      <c r="G2308" s="3">
        <f t="shared" si="1360"/>
        <v>8.9276540747693703E-6</v>
      </c>
      <c r="H2308" s="3">
        <f t="shared" si="1360"/>
        <v>6.3750581809437299E-6</v>
      </c>
      <c r="I2308" s="3">
        <f t="shared" si="1360"/>
        <v>3.6328852724417772E-3</v>
      </c>
      <c r="J2308" s="3">
        <f t="shared" si="1360"/>
        <v>3.3628146629967617</v>
      </c>
      <c r="K2308" s="3">
        <f t="shared" si="1360"/>
        <v>4.251345870366869</v>
      </c>
    </row>
    <row r="2309" spans="2:11" x14ac:dyDescent="0.35">
      <c r="B2309" s="5" t="str">
        <f t="shared" si="1355"/>
        <v>SPS2</v>
      </c>
      <c r="C2309" s="5" t="str">
        <f t="shared" si="1356"/>
        <v>CH</v>
      </c>
      <c r="D2309" t="s">
        <v>2452</v>
      </c>
      <c r="E2309" t="s">
        <v>2155</v>
      </c>
      <c r="F2309" s="1" cm="1">
        <f t="array" ref="F2309">SUMPRODUCT(ISNUMBER(SEARCH("SUP_ELCH2*",[1]OUT_SyntheticFuels!$C$4:$C$1000))*1,("var_ncap"=[1]OUT_SyntheticFuels!$B$4:$B$1000)*1,[1]OUT_SyntheticFuels!E$4:E$1000)</f>
        <v>5.2409005827806397E-4</v>
      </c>
      <c r="G2309" s="1" cm="1">
        <f t="array" ref="G2309">SUMPRODUCT(ISNUMBER(SEARCH("SUP_ELCH2*",[1]OUT_SyntheticFuels!$C$4:$C$1000))*1,("var_ncap"=[1]OUT_SyntheticFuels!$B$4:$B$1000)*1,[1]OUT_SyntheticFuels!F$4:F$1000)</f>
        <v>8.9276540747693703E-6</v>
      </c>
      <c r="H2309" s="1" cm="1">
        <f t="array" ref="H2309">SUMPRODUCT(ISNUMBER(SEARCH("SUP_ELCH2*",[1]OUT_SyntheticFuels!$C$4:$C$1000))*1,("var_ncap"=[1]OUT_SyntheticFuels!$B$4:$B$1000)*1,[1]OUT_SyntheticFuels!G$4:G$1000)</f>
        <v>6.3750581809437299E-6</v>
      </c>
      <c r="I2309" s="1" cm="1">
        <f t="array" ref="I2309">SUMPRODUCT(ISNUMBER(SEARCH("SUP_ELCH2*",[1]OUT_SyntheticFuels!$C$4:$C$1000))*1,("var_ncap"=[1]OUT_SyntheticFuels!$B$4:$B$1000)*1,[1]OUT_SyntheticFuels!H$4:H$1000)</f>
        <v>3.5413681792064778E-3</v>
      </c>
      <c r="J2309" s="1" cm="1">
        <f t="array" ref="J2309">SUMPRODUCT(ISNUMBER(SEARCH("SUP_ELCH2*",[1]OUT_SyntheticFuels!$C$4:$C$1000))*1,("var_ncap"=[1]OUT_SyntheticFuels!$B$4:$B$1000)*1,[1]OUT_SyntheticFuels!I$4:I$1000)</f>
        <v>3.0667521740740207</v>
      </c>
      <c r="K2309" s="1" cm="1">
        <f t="array" ref="K2309">SUMPRODUCT(ISNUMBER(SEARCH("SUP_ELCH2*",[1]OUT_SyntheticFuels!$C$4:$C$1000))*1,("var_ncap"=[1]OUT_SyntheticFuels!$B$4:$B$1000)*1,[1]OUT_SyntheticFuels!J$4:J$1000)</f>
        <v>3.7501849272332866</v>
      </c>
    </row>
    <row r="2310" spans="2:11" x14ac:dyDescent="0.35">
      <c r="B2310" s="5" t="str">
        <f t="shared" si="1355"/>
        <v>SPS2</v>
      </c>
      <c r="C2310" s="5" t="str">
        <f t="shared" si="1356"/>
        <v>CH</v>
      </c>
      <c r="D2310" t="s">
        <v>2453</v>
      </c>
      <c r="E2310" t="s">
        <v>2155</v>
      </c>
      <c r="F2310" s="1">
        <f t="shared" ref="F2310:K2310" si="1361">F2309-F2311-F2312</f>
        <v>5.2409005827806397E-4</v>
      </c>
      <c r="G2310" s="1">
        <f t="shared" si="1361"/>
        <v>8.9276540747693703E-6</v>
      </c>
      <c r="H2310" s="1">
        <f t="shared" si="1361"/>
        <v>6.3750581809437299E-6</v>
      </c>
      <c r="I2310" s="1">
        <f t="shared" si="1361"/>
        <v>7.8265129328076131E-6</v>
      </c>
      <c r="J2310" s="1">
        <f t="shared" si="1361"/>
        <v>1.65936490240127</v>
      </c>
      <c r="K2310" s="1">
        <f t="shared" si="1361"/>
        <v>1.4359300509391999</v>
      </c>
    </row>
    <row r="2311" spans="2:11" x14ac:dyDescent="0.35">
      <c r="B2311" s="5" t="str">
        <f t="shared" si="1355"/>
        <v>SPS2</v>
      </c>
      <c r="C2311" s="5" t="str">
        <f t="shared" si="1356"/>
        <v>CH</v>
      </c>
      <c r="D2311" t="s">
        <v>2454</v>
      </c>
      <c r="E2311" t="s">
        <v>2155</v>
      </c>
      <c r="F2311" s="1" cm="1">
        <f t="array" ref="F2311">SUMPRODUCT(ISNUMBER(SEARCH("SUP_ELCH2*D",[1]OUT_SyntheticFuels!$C$4:$C$1000))*1,("var_ncap"=[1]OUT_SyntheticFuels!$B$4:$B$1000)*1,[1]OUT_SyntheticFuels!E$4:E$1000)</f>
        <v>0</v>
      </c>
      <c r="G2311" s="1" cm="1">
        <f t="array" ref="G2311">SUMPRODUCT(ISNUMBER(SEARCH("SUP_ELCH2*D",[1]OUT_SyntheticFuels!$C$4:$C$1000))*1,("var_ncap"=[1]OUT_SyntheticFuels!$B$4:$B$1000)*1,[1]OUT_SyntheticFuels!F$4:F$1000)</f>
        <v>0</v>
      </c>
      <c r="H2311" s="1" cm="1">
        <f t="array" ref="H2311">SUMPRODUCT(ISNUMBER(SEARCH("SUP_ELCH2*D",[1]OUT_SyntheticFuels!$C$4:$C$1000))*1,("var_ncap"=[1]OUT_SyntheticFuels!$B$4:$B$1000)*1,[1]OUT_SyntheticFuels!G$4:G$1000)</f>
        <v>0</v>
      </c>
      <c r="I2311" s="1" cm="1">
        <f t="array" ref="I2311">SUMPRODUCT(ISNUMBER(SEARCH("SUP_ELCH2*D",[1]OUT_SyntheticFuels!$C$4:$C$1000))*1,("var_ncap"=[1]OUT_SyntheticFuels!$B$4:$B$1000)*1,[1]OUT_SyntheticFuels!H$4:H$1000)</f>
        <v>3.5335416662736702E-3</v>
      </c>
      <c r="J2311" s="1" cm="1">
        <f t="array" ref="J2311">SUMPRODUCT(ISNUMBER(SEARCH("SUP_ELCH2*D",[1]OUT_SyntheticFuels!$C$4:$C$1000))*1,("var_ncap"=[1]OUT_SyntheticFuels!$B$4:$B$1000)*1,[1]OUT_SyntheticFuels!I$4:I$1000)</f>
        <v>1.4056798299359301</v>
      </c>
      <c r="K2311" s="1" cm="1">
        <f t="array" ref="K2311">SUMPRODUCT(ISNUMBER(SEARCH("SUP_ELCH2*D",[1]OUT_SyntheticFuels!$C$4:$C$1000))*1,("var_ncap"=[1]OUT_SyntheticFuels!$B$4:$B$1000)*1,[1]OUT_SyntheticFuels!J$4:J$1000)</f>
        <v>2.3085758059624899</v>
      </c>
    </row>
    <row r="2312" spans="2:11" x14ac:dyDescent="0.35">
      <c r="B2312" s="5" t="str">
        <f t="shared" si="1355"/>
        <v>SPS2</v>
      </c>
      <c r="C2312" s="5" t="str">
        <f t="shared" si="1356"/>
        <v>CH</v>
      </c>
      <c r="D2312" t="s">
        <v>2455</v>
      </c>
      <c r="E2312" t="s">
        <v>2155</v>
      </c>
      <c r="F2312" s="1" cm="1">
        <f t="array" ref="F2312">SUMPRODUCT(ISNUMBER(SEARCH("SUP_ELCH2*SOEC*",[1]OUT_SyntheticFuels!$C$4:$C$1000))*1,("var_ncap"=[1]OUT_SyntheticFuels!$B$4:$B$1000)*1,[1]OUT_SyntheticFuels!E$4:E$1000)</f>
        <v>0</v>
      </c>
      <c r="G2312" s="1" cm="1">
        <f t="array" ref="G2312">SUMPRODUCT(ISNUMBER(SEARCH("SUP_ELCH2*SOEC*",[1]OUT_SyntheticFuels!$C$4:$C$1000))*1,("var_ncap"=[1]OUT_SyntheticFuels!$B$4:$B$1000)*1,[1]OUT_SyntheticFuels!F$4:F$1000)</f>
        <v>0</v>
      </c>
      <c r="H2312" s="1" cm="1">
        <f t="array" ref="H2312">SUMPRODUCT(ISNUMBER(SEARCH("SUP_ELCH2*SOEC*",[1]OUT_SyntheticFuels!$C$4:$C$1000))*1,("var_ncap"=[1]OUT_SyntheticFuels!$B$4:$B$1000)*1,[1]OUT_SyntheticFuels!G$4:G$1000)</f>
        <v>0</v>
      </c>
      <c r="I2312" s="1" cm="1">
        <f t="array" ref="I2312">SUMPRODUCT(ISNUMBER(SEARCH("SUP_ELCH2*SOEC*",[1]OUT_SyntheticFuels!$C$4:$C$1000))*1,("var_ncap"=[1]OUT_SyntheticFuels!$B$4:$B$1000)*1,[1]OUT_SyntheticFuels!H$4:H$1000)</f>
        <v>0</v>
      </c>
      <c r="J2312" s="1" cm="1">
        <f t="array" ref="J2312">SUMPRODUCT(ISNUMBER(SEARCH("SUP_ELCH2*SOEC*",[1]OUT_SyntheticFuels!$C$4:$C$1000))*1,("var_ncap"=[1]OUT_SyntheticFuels!$B$4:$B$1000)*1,[1]OUT_SyntheticFuels!I$4:I$1000)</f>
        <v>1.7074417368205001E-3</v>
      </c>
      <c r="K2312" s="1" cm="1">
        <f t="array" ref="K2312">SUMPRODUCT(ISNUMBER(SEARCH("SUP_ELCH2*SOEC*",[1]OUT_SyntheticFuels!$C$4:$C$1000))*1,("var_ncap"=[1]OUT_SyntheticFuels!$B$4:$B$1000)*1,[1]OUT_SyntheticFuels!J$4:J$1000)</f>
        <v>5.6790703315966699E-3</v>
      </c>
    </row>
    <row r="2313" spans="2:11" x14ac:dyDescent="0.35">
      <c r="B2313" s="5" t="str">
        <f t="shared" si="1355"/>
        <v>SPS2</v>
      </c>
      <c r="C2313" s="5" t="str">
        <f t="shared" si="1356"/>
        <v>CH</v>
      </c>
      <c r="D2313" t="s">
        <v>2456</v>
      </c>
      <c r="E2313" t="s">
        <v>2155</v>
      </c>
      <c r="F2313" s="1">
        <f t="shared" ref="F2313:K2313" si="1362">SUM(F2314:F2315)</f>
        <v>0</v>
      </c>
      <c r="G2313" s="1">
        <f t="shared" si="1362"/>
        <v>0</v>
      </c>
      <c r="H2313" s="1">
        <f t="shared" si="1362"/>
        <v>0</v>
      </c>
      <c r="I2313" s="1">
        <f t="shared" si="1362"/>
        <v>9.4771470268618702E-7</v>
      </c>
      <c r="J2313" s="1">
        <f t="shared" si="1362"/>
        <v>5.1739378829218002E-6</v>
      </c>
      <c r="K2313" s="1">
        <f t="shared" si="1362"/>
        <v>2.9101101596426998E-4</v>
      </c>
    </row>
    <row r="2314" spans="2:11" x14ac:dyDescent="0.35">
      <c r="B2314" s="5" t="str">
        <f t="shared" si="1355"/>
        <v>SPS2</v>
      </c>
      <c r="C2314" s="5" t="str">
        <f t="shared" si="1356"/>
        <v>CH</v>
      </c>
      <c r="D2314" t="s">
        <v>2457</v>
      </c>
      <c r="E2314" t="s">
        <v>2155</v>
      </c>
      <c r="F2314" s="1" cm="1">
        <f t="array" ref="F2314">SUMPRODUCT(ISNUMBER(SEARCH("SUP_NGAH2",[1]OUT_SyntheticFuels!$C$4:$C$1000))*1,("var_ncap"=[1]OUT_SyntheticFuels!$B$4:$B$1000)*1,[1]OUT_SyntheticFuels!E$4:E$1000)-F2315</f>
        <v>0</v>
      </c>
      <c r="G2314" s="1" cm="1">
        <f t="array" ref="G2314">SUMPRODUCT(ISNUMBER(SEARCH("SUP_NGAH2",[1]OUT_SyntheticFuels!$C$4:$C$1000))*1,("var_ncap"=[1]OUT_SyntheticFuels!$B$4:$B$1000)*1,[1]OUT_SyntheticFuels!F$4:F$1000)-G2315</f>
        <v>0</v>
      </c>
      <c r="H2314" s="1" cm="1">
        <f t="array" ref="H2314">SUMPRODUCT(ISNUMBER(SEARCH("SUP_NGAH2",[1]OUT_SyntheticFuels!$C$4:$C$1000))*1,("var_ncap"=[1]OUT_SyntheticFuels!$B$4:$B$1000)*1,[1]OUT_SyntheticFuels!G$4:G$1000)-H2315</f>
        <v>0</v>
      </c>
      <c r="I2314" s="1" cm="1">
        <f t="array" ref="I2314">SUMPRODUCT(ISNUMBER(SEARCH("SUP_NGAH2",[1]OUT_SyntheticFuels!$C$4:$C$1000))*1,("var_ncap"=[1]OUT_SyntheticFuels!$B$4:$B$1000)*1,[1]OUT_SyntheticFuels!H$4:H$1000)-I2315</f>
        <v>9.4771470268618702E-7</v>
      </c>
      <c r="J2314" s="1" cm="1">
        <f t="array" ref="J2314">SUMPRODUCT(ISNUMBER(SEARCH("SUP_NGAH2",[1]OUT_SyntheticFuels!$C$4:$C$1000))*1,("var_ncap"=[1]OUT_SyntheticFuels!$B$4:$B$1000)*1,[1]OUT_SyntheticFuels!I$4:I$1000)-J2315</f>
        <v>3.5721202788354804E-6</v>
      </c>
      <c r="K2314" s="1" cm="1">
        <f t="array" ref="K2314">SUMPRODUCT(ISNUMBER(SEARCH("SUP_NGAH2",[1]OUT_SyntheticFuels!$C$4:$C$1000))*1,("var_ncap"=[1]OUT_SyntheticFuels!$B$4:$B$1000)*1,[1]OUT_SyntheticFuels!J$4:J$1000)-K2315</f>
        <v>1.5859865207198899E-4</v>
      </c>
    </row>
    <row r="2315" spans="2:11" x14ac:dyDescent="0.35">
      <c r="B2315" s="5" t="str">
        <f t="shared" si="1355"/>
        <v>SPS2</v>
      </c>
      <c r="C2315" s="5" t="str">
        <f t="shared" si="1356"/>
        <v>CH</v>
      </c>
      <c r="D2315" t="s">
        <v>2458</v>
      </c>
      <c r="E2315" t="s">
        <v>2155</v>
      </c>
      <c r="F2315" s="1" cm="1">
        <f t="array" ref="F2315">SUMPRODUCT(ISNUMBER(SEARCH("SUP_NGAH2CCS",[1]OUT_SyntheticFuels!$C$4:$C$1000))*1,("var_ncap"=[1]OUT_SyntheticFuels!$B$4:$B$1000)*1,[1]OUT_SyntheticFuels!E$4:E$1000)</f>
        <v>0</v>
      </c>
      <c r="G2315" s="1" cm="1">
        <f t="array" ref="G2315">SUMPRODUCT(ISNUMBER(SEARCH("SUP_NGAH2CCS",[1]OUT_SyntheticFuels!$C$4:$C$1000))*1,("var_ncap"=[1]OUT_SyntheticFuels!$B$4:$B$1000)*1,[1]OUT_SyntheticFuels!F$4:F$1000)</f>
        <v>0</v>
      </c>
      <c r="H2315" s="1" cm="1">
        <f t="array" ref="H2315">SUMPRODUCT(ISNUMBER(SEARCH("SUP_NGAH2CCS",[1]OUT_SyntheticFuels!$C$4:$C$1000))*1,("var_ncap"=[1]OUT_SyntheticFuels!$B$4:$B$1000)*1,[1]OUT_SyntheticFuels!G$4:G$1000)</f>
        <v>0</v>
      </c>
      <c r="I2315" s="1" cm="1">
        <f t="array" ref="I2315">SUMPRODUCT(ISNUMBER(SEARCH("SUP_NGAH2CCS",[1]OUT_SyntheticFuels!$C$4:$C$1000))*1,("var_ncap"=[1]OUT_SyntheticFuels!$B$4:$B$1000)*1,[1]OUT_SyntheticFuels!H$4:H$1000)</f>
        <v>0</v>
      </c>
      <c r="J2315" s="1" cm="1">
        <f t="array" ref="J2315">SUMPRODUCT(ISNUMBER(SEARCH("SUP_NGAH2CCS",[1]OUT_SyntheticFuels!$C$4:$C$1000))*1,("var_ncap"=[1]OUT_SyntheticFuels!$B$4:$B$1000)*1,[1]OUT_SyntheticFuels!I$4:I$1000)</f>
        <v>1.60181760408632E-6</v>
      </c>
      <c r="K2315" s="1" cm="1">
        <f t="array" ref="K2315">SUMPRODUCT(ISNUMBER(SEARCH("SUP_NGAH2CCS",[1]OUT_SyntheticFuels!$C$4:$C$1000))*1,("var_ncap"=[1]OUT_SyntheticFuels!$B$4:$B$1000)*1,[1]OUT_SyntheticFuels!J$4:J$1000)</f>
        <v>1.3241236389228099E-4</v>
      </c>
    </row>
    <row r="2316" spans="2:11" x14ac:dyDescent="0.35">
      <c r="B2316" s="5" t="str">
        <f t="shared" si="1355"/>
        <v>SPS2</v>
      </c>
      <c r="C2316" s="5" t="str">
        <f t="shared" si="1356"/>
        <v>CH</v>
      </c>
      <c r="D2316" t="s">
        <v>2459</v>
      </c>
      <c r="E2316" t="s">
        <v>2155</v>
      </c>
      <c r="F2316" s="1">
        <f t="shared" ref="F2316:K2316" si="1363">SUM(F2317:F2318)</f>
        <v>0</v>
      </c>
      <c r="G2316" s="1">
        <f t="shared" si="1363"/>
        <v>0</v>
      </c>
      <c r="H2316" s="1">
        <f t="shared" si="1363"/>
        <v>0</v>
      </c>
      <c r="I2316" s="1">
        <f t="shared" si="1363"/>
        <v>9.0569378532613206E-5</v>
      </c>
      <c r="J2316" s="1">
        <f t="shared" si="1363"/>
        <v>0.29605731498485799</v>
      </c>
      <c r="K2316" s="1">
        <f t="shared" si="1363"/>
        <v>0.50086993211761832</v>
      </c>
    </row>
    <row r="2317" spans="2:11" x14ac:dyDescent="0.35">
      <c r="B2317" s="5" t="str">
        <f t="shared" si="1355"/>
        <v>SPS2</v>
      </c>
      <c r="C2317" s="5" t="str">
        <f t="shared" si="1356"/>
        <v>CH</v>
      </c>
      <c r="D2317" t="s">
        <v>2460</v>
      </c>
      <c r="E2317" t="s">
        <v>2155</v>
      </c>
      <c r="F2317" s="1" cm="1">
        <f t="array" ref="F2317">SUMPRODUCT(ISNUMBER(SEARCH("SUP_WODH2",[1]OUT_SyntheticFuels!$C$4:$C$1000))*1,("var_ncap"=[1]OUT_SyntheticFuels!$B$4:$B$1000)*1,[1]OUT_SyntheticFuels!E$4:E$1000)-F2318</f>
        <v>0</v>
      </c>
      <c r="G2317" s="1" cm="1">
        <f t="array" ref="G2317">SUMPRODUCT(ISNUMBER(SEARCH("SUP_WODH2",[1]OUT_SyntheticFuels!$C$4:$C$1000))*1,("var_ncap"=[1]OUT_SyntheticFuels!$B$4:$B$1000)*1,[1]OUT_SyntheticFuels!F$4:F$1000)-G2318</f>
        <v>0</v>
      </c>
      <c r="H2317" s="1" cm="1">
        <f t="array" ref="H2317">SUMPRODUCT(ISNUMBER(SEARCH("SUP_WODH2",[1]OUT_SyntheticFuels!$C$4:$C$1000))*1,("var_ncap"=[1]OUT_SyntheticFuels!$B$4:$B$1000)*1,[1]OUT_SyntheticFuels!G$4:G$1000)-H2318</f>
        <v>0</v>
      </c>
      <c r="I2317" s="1" cm="1">
        <f t="array" ref="I2317">SUMPRODUCT(ISNUMBER(SEARCH("SUP_WODH2",[1]OUT_SyntheticFuels!$C$4:$C$1000))*1,("var_ncap"=[1]OUT_SyntheticFuels!$B$4:$B$1000)*1,[1]OUT_SyntheticFuels!H$4:H$1000)-I2318</f>
        <v>9.0569378532613206E-5</v>
      </c>
      <c r="J2317" s="1" cm="1">
        <f t="array" ref="J2317">SUMPRODUCT(ISNUMBER(SEARCH("SUP_WODH2",[1]OUT_SyntheticFuels!$C$4:$C$1000))*1,("var_ncap"=[1]OUT_SyntheticFuels!$B$4:$B$1000)*1,[1]OUT_SyntheticFuels!I$4:I$1000)-J2318</f>
        <v>0.29605731498485799</v>
      </c>
      <c r="K2317" s="1" cm="1">
        <f t="array" ref="K2317">SUMPRODUCT(ISNUMBER(SEARCH("SUP_WODH2",[1]OUT_SyntheticFuels!$C$4:$C$1000))*1,("var_ncap"=[1]OUT_SyntheticFuels!$B$4:$B$1000)*1,[1]OUT_SyntheticFuels!J$4:J$1000)-K2318</f>
        <v>3.4438190033014848E-7</v>
      </c>
    </row>
    <row r="2318" spans="2:11" x14ac:dyDescent="0.35">
      <c r="B2318" s="5" t="str">
        <f t="shared" si="1355"/>
        <v>SPS2</v>
      </c>
      <c r="C2318" s="5" t="str">
        <f t="shared" si="1356"/>
        <v>CH</v>
      </c>
      <c r="D2318" t="s">
        <v>2461</v>
      </c>
      <c r="E2318" t="s">
        <v>2155</v>
      </c>
      <c r="F2318" s="1" cm="1">
        <f t="array" ref="F2318">SUMPRODUCT(ISNUMBER(SEARCH("SUP_WODH2CCS",[1]OUT_SyntheticFuels!$C$4:$C$1000))*1,("var_ncap"=[1]OUT_SyntheticFuels!$B$4:$B$1000)*1,[1]OUT_SyntheticFuels!E$4:E$1000)</f>
        <v>0</v>
      </c>
      <c r="G2318" s="1" cm="1">
        <f t="array" ref="G2318">SUMPRODUCT(ISNUMBER(SEARCH("SUP_WODH2CCS",[1]OUT_SyntheticFuels!$C$4:$C$1000))*1,("var_ncap"=[1]OUT_SyntheticFuels!$B$4:$B$1000)*1,[1]OUT_SyntheticFuels!F$4:F$1000)</f>
        <v>0</v>
      </c>
      <c r="H2318" s="1" cm="1">
        <f t="array" ref="H2318">SUMPRODUCT(ISNUMBER(SEARCH("SUP_WODH2CCS",[1]OUT_SyntheticFuels!$C$4:$C$1000))*1,("var_ncap"=[1]OUT_SyntheticFuels!$B$4:$B$1000)*1,[1]OUT_SyntheticFuels!G$4:G$1000)</f>
        <v>0</v>
      </c>
      <c r="I2318" s="1" cm="1">
        <f t="array" ref="I2318">SUMPRODUCT(ISNUMBER(SEARCH("SUP_WODH2CCS",[1]OUT_SyntheticFuels!$C$4:$C$1000))*1,("var_ncap"=[1]OUT_SyntheticFuels!$B$4:$B$1000)*1,[1]OUT_SyntheticFuels!H$4:H$1000)</f>
        <v>0</v>
      </c>
      <c r="J2318" s="1" cm="1">
        <f t="array" ref="J2318">SUMPRODUCT(ISNUMBER(SEARCH("SUP_WODH2CCS",[1]OUT_SyntheticFuels!$C$4:$C$1000))*1,("var_ncap"=[1]OUT_SyntheticFuels!$B$4:$B$1000)*1,[1]OUT_SyntheticFuels!I$4:I$1000)</f>
        <v>0</v>
      </c>
      <c r="K2318" s="1" cm="1">
        <f t="array" ref="K2318">SUMPRODUCT(ISNUMBER(SEARCH("SUP_WODH2CCS",[1]OUT_SyntheticFuels!$C$4:$C$1000))*1,("var_ncap"=[1]OUT_SyntheticFuels!$B$4:$B$1000)*1,[1]OUT_SyntheticFuels!J$4:J$1000)</f>
        <v>0.50086958773571799</v>
      </c>
    </row>
    <row r="2319" spans="2:11" x14ac:dyDescent="0.35">
      <c r="B2319" s="5" t="str">
        <f t="shared" si="1355"/>
        <v>SPS2</v>
      </c>
      <c r="C2319" s="5" t="str">
        <f t="shared" si="1356"/>
        <v>CH</v>
      </c>
      <c r="D2319" s="2" t="s">
        <v>2197</v>
      </c>
      <c r="E2319" s="2" t="s">
        <v>2157</v>
      </c>
      <c r="F2319" s="26"/>
      <c r="G2319" s="26"/>
      <c r="H2319" s="26"/>
      <c r="I2319" s="26"/>
      <c r="J2319" s="26"/>
      <c r="K2319" s="26"/>
    </row>
    <row r="2320" spans="2:11" x14ac:dyDescent="0.35">
      <c r="B2320" s="5" t="str">
        <f t="shared" si="1355"/>
        <v>SPS2</v>
      </c>
      <c r="C2320" s="5" t="str">
        <f t="shared" si="1356"/>
        <v>CH</v>
      </c>
      <c r="D2320" t="s">
        <v>2462</v>
      </c>
      <c r="E2320" t="s">
        <v>2157</v>
      </c>
      <c r="F2320" s="7" cm="1">
        <f t="array" ref="F2320">SUMPRODUCT(("CT_CWODBDS"=[1]OUT_SyntheticFuels!$C$4:$C$1000)*1,("var_ncap"=[1]OUT_SyntheticFuels!$B$4:$B$1000)*1,[1]OUT_SyntheticFuels!E$4:E$1000)</f>
        <v>1.28021480288341E-6</v>
      </c>
      <c r="G2320" s="7" cm="1">
        <f t="array" ref="G2320">SUMPRODUCT(("CT_CWODBDS"=[1]OUT_SyntheticFuels!$C$4:$C$1000)*1,("var_ncap"=[1]OUT_SyntheticFuels!$B$4:$B$1000)*1,[1]OUT_SyntheticFuels!F$4:F$1000)</f>
        <v>1.2951362444173999E-6</v>
      </c>
      <c r="H2320" s="7" cm="1">
        <f t="array" ref="H2320">SUMPRODUCT(("CT_CWODBDS"=[1]OUT_SyntheticFuels!$C$4:$C$1000)*1,("var_ncap"=[1]OUT_SyntheticFuels!$B$4:$B$1000)*1,[1]OUT_SyntheticFuels!G$4:G$1000)</f>
        <v>1.70714236946556E-6</v>
      </c>
      <c r="I2320" s="7" cm="1">
        <f t="array" ref="I2320">SUMPRODUCT(("CT_CWODBDS"=[1]OUT_SyntheticFuels!$C$4:$C$1000)*1,("var_ncap"=[1]OUT_SyntheticFuels!$B$4:$B$1000)*1,[1]OUT_SyntheticFuels!H$4:H$1000)</f>
        <v>1.0714620830728601E-6</v>
      </c>
      <c r="J2320" s="7" cm="1">
        <f t="array" ref="J2320">SUMPRODUCT(("CT_CWODBDS"=[1]OUT_SyntheticFuels!$C$4:$C$1000)*1,("var_ncap"=[1]OUT_SyntheticFuels!$B$4:$B$1000)*1,[1]OUT_SyntheticFuels!I$4:I$1000)</f>
        <v>1.2786188553678201E-6</v>
      </c>
      <c r="K2320" s="7" cm="1">
        <f t="array" ref="K2320">SUMPRODUCT(("CT_CWODBDS"=[1]OUT_SyntheticFuels!$C$4:$C$1000)*1,("var_ncap"=[1]OUT_SyntheticFuels!$B$4:$B$1000)*1,[1]OUT_SyntheticFuels!J$4:J$1000)</f>
        <v>5.4243724665866001E-7</v>
      </c>
    </row>
    <row r="2321" spans="2:11" x14ac:dyDescent="0.35">
      <c r="B2321" s="5" t="str">
        <f t="shared" si="1355"/>
        <v>SPS2</v>
      </c>
      <c r="C2321" s="5" t="str">
        <f t="shared" si="1356"/>
        <v>CH</v>
      </c>
      <c r="D2321" t="s">
        <v>2463</v>
      </c>
      <c r="E2321" t="s">
        <v>2157</v>
      </c>
      <c r="F2321" s="7" cm="1">
        <f t="array" ref="F2321">SUMPRODUCT(("CT_CWODBDSCCS"=[1]OUT_SyntheticFuels!$C$4:$C$1000)*1,("var_ncap"=[1]OUT_SyntheticFuels!$B$4:$B$1000)*1,[1]OUT_SyntheticFuels!E$4:E$1000)</f>
        <v>0</v>
      </c>
      <c r="G2321" s="7" cm="1">
        <f t="array" ref="G2321">SUMPRODUCT(("CT_CWODBDSCCS"=[1]OUT_SyntheticFuels!$C$4:$C$1000)*1,("var_ncap"=[1]OUT_SyntheticFuels!$B$4:$B$1000)*1,[1]OUT_SyntheticFuels!F$4:F$1000)</f>
        <v>0</v>
      </c>
      <c r="H2321" s="7" cm="1">
        <f t="array" ref="H2321">SUMPRODUCT(("CT_CWODBDSCCS"=[1]OUT_SyntheticFuels!$C$4:$C$1000)*1,("var_ncap"=[1]OUT_SyntheticFuels!$B$4:$B$1000)*1,[1]OUT_SyntheticFuels!G$4:G$1000)</f>
        <v>0</v>
      </c>
      <c r="I2321" s="7" cm="1">
        <f t="array" ref="I2321">SUMPRODUCT(("CT_CWODBDSCCS"=[1]OUT_SyntheticFuels!$C$4:$C$1000)*1,("var_ncap"=[1]OUT_SyntheticFuels!$B$4:$B$1000)*1,[1]OUT_SyntheticFuels!H$4:H$1000)</f>
        <v>0</v>
      </c>
      <c r="J2321" s="7" cm="1">
        <f t="array" ref="J2321">SUMPRODUCT(("CT_CWODBDSCCS"=[1]OUT_SyntheticFuels!$C$4:$C$1000)*1,("var_ncap"=[1]OUT_SyntheticFuels!$B$4:$B$1000)*1,[1]OUT_SyntheticFuels!I$4:I$1000)</f>
        <v>3.1732844948973002E-4</v>
      </c>
      <c r="K2321" s="7" cm="1">
        <f t="array" ref="K2321">SUMPRODUCT(("CT_CWODBDSCCS"=[1]OUT_SyntheticFuels!$C$4:$C$1000)*1,("var_ncap"=[1]OUT_SyntheticFuels!$B$4:$B$1000)*1,[1]OUT_SyntheticFuels!J$4:J$1000)</f>
        <v>0.203255126038482</v>
      </c>
    </row>
    <row r="2322" spans="2:11" x14ac:dyDescent="0.35">
      <c r="B2322" s="5" t="str">
        <f t="shared" si="1355"/>
        <v>SPS2</v>
      </c>
      <c r="C2322" s="5" t="str">
        <f t="shared" si="1356"/>
        <v>CH</v>
      </c>
      <c r="D2322" t="s">
        <v>2464</v>
      </c>
      <c r="E2322" t="s">
        <v>2157</v>
      </c>
      <c r="F2322" s="7" cm="1">
        <f t="array" ref="F2322">SUMPRODUCT(("CT_CWODETH"=[1]OUT_SyntheticFuels!$C$4:$C$1000)*1,("var_ncap"=[1]OUT_SyntheticFuels!$B$4:$B$1000)*1,[1]OUT_SyntheticFuels!E$4:E$1000)</f>
        <v>5.5217685799445602E-2</v>
      </c>
      <c r="G2322" s="7" cm="1">
        <f t="array" ref="G2322">SUMPRODUCT(("CT_CWODETH"=[1]OUT_SyntheticFuels!$C$4:$C$1000)*1,("var_ncap"=[1]OUT_SyntheticFuels!$B$4:$B$1000)*1,[1]OUT_SyntheticFuels!F$4:F$1000)</f>
        <v>1.56084252948419E-6</v>
      </c>
      <c r="H2322" s="7" cm="1">
        <f t="array" ref="H2322">SUMPRODUCT(("CT_CWODETH"=[1]OUT_SyntheticFuels!$C$4:$C$1000)*1,("var_ncap"=[1]OUT_SyntheticFuels!$B$4:$B$1000)*1,[1]OUT_SyntheticFuels!G$4:G$1000)</f>
        <v>8.0016295520086902E-3</v>
      </c>
      <c r="I2322" s="7" cm="1">
        <f t="array" ref="I2322">SUMPRODUCT(("CT_CWODETH"=[1]OUT_SyntheticFuels!$C$4:$C$1000)*1,("var_ncap"=[1]OUT_SyntheticFuels!$B$4:$B$1000)*1,[1]OUT_SyntheticFuels!H$4:H$1000)</f>
        <v>3.0284243763211602E-6</v>
      </c>
      <c r="J2322" s="7" cm="1">
        <f t="array" ref="J2322">SUMPRODUCT(("CT_CWODETH"=[1]OUT_SyntheticFuels!$C$4:$C$1000)*1,("var_ncap"=[1]OUT_SyntheticFuels!$B$4:$B$1000)*1,[1]OUT_SyntheticFuels!I$4:I$1000)</f>
        <v>1.5409780277119199E-6</v>
      </c>
      <c r="K2322" s="7" cm="1">
        <f t="array" ref="K2322">SUMPRODUCT(("CT_CWODETH"=[1]OUT_SyntheticFuels!$C$4:$C$1000)*1,("var_ncap"=[1]OUT_SyntheticFuels!$B$4:$B$1000)*1,[1]OUT_SyntheticFuels!J$4:J$1000)</f>
        <v>7.9502411965008004E-5</v>
      </c>
    </row>
    <row r="2323" spans="2:11" x14ac:dyDescent="0.35">
      <c r="B2323" s="5" t="str">
        <f t="shared" si="1355"/>
        <v>SPS2</v>
      </c>
      <c r="C2323" s="5" t="str">
        <f t="shared" si="1356"/>
        <v>CH</v>
      </c>
      <c r="D2323" t="s">
        <v>2465</v>
      </c>
      <c r="E2323" t="s">
        <v>2157</v>
      </c>
      <c r="F2323" s="7" cm="1">
        <f t="array" ref="F2323">SUMPRODUCT(("CT_CWODETHCCS"=[1]OUT_SyntheticFuels!$C$4:$C$1000)*1,("var_ncap"=[1]OUT_SyntheticFuels!$B$4:$B$1000)*1,[1]OUT_SyntheticFuels!E$4:E$1000)</f>
        <v>0</v>
      </c>
      <c r="G2323" s="7" cm="1">
        <f t="array" ref="G2323">SUMPRODUCT(("CT_CWODETHCCS"=[1]OUT_SyntheticFuels!$C$4:$C$1000)*1,("var_ncap"=[1]OUT_SyntheticFuels!$B$4:$B$1000)*1,[1]OUT_SyntheticFuels!F$4:F$1000)</f>
        <v>0</v>
      </c>
      <c r="H2323" s="7" cm="1">
        <f t="array" ref="H2323">SUMPRODUCT(("CT_CWODETHCCS"=[1]OUT_SyntheticFuels!$C$4:$C$1000)*1,("var_ncap"=[1]OUT_SyntheticFuels!$B$4:$B$1000)*1,[1]OUT_SyntheticFuels!G$4:G$1000)</f>
        <v>0</v>
      </c>
      <c r="I2323" s="7" cm="1">
        <f t="array" ref="I2323">SUMPRODUCT(("CT_CWODETHCCS"=[1]OUT_SyntheticFuels!$C$4:$C$1000)*1,("var_ncap"=[1]OUT_SyntheticFuels!$B$4:$B$1000)*1,[1]OUT_SyntheticFuels!H$4:H$1000)</f>
        <v>0</v>
      </c>
      <c r="J2323" s="7" cm="1">
        <f t="array" ref="J2323">SUMPRODUCT(("CT_CWODETHCCS"=[1]OUT_SyntheticFuels!$C$4:$C$1000)*1,("var_ncap"=[1]OUT_SyntheticFuels!$B$4:$B$1000)*1,[1]OUT_SyntheticFuels!I$4:I$1000)</f>
        <v>5.0764122999216698E-5</v>
      </c>
      <c r="K2323" s="7" cm="1">
        <f t="array" ref="K2323">SUMPRODUCT(("CT_CWODETHCCS"=[1]OUT_SyntheticFuels!$C$4:$C$1000)*1,("var_ncap"=[1]OUT_SyntheticFuels!$B$4:$B$1000)*1,[1]OUT_SyntheticFuels!J$4:J$1000)</f>
        <v>1.4387960149901101E-3</v>
      </c>
    </row>
    <row r="2324" spans="2:11" x14ac:dyDescent="0.35">
      <c r="B2324" s="5" t="str">
        <f t="shared" si="1355"/>
        <v>SPS2</v>
      </c>
      <c r="C2324" s="5" t="str">
        <f t="shared" si="1356"/>
        <v>CH</v>
      </c>
      <c r="D2324" t="s">
        <v>2466</v>
      </c>
      <c r="E2324" t="s">
        <v>2157</v>
      </c>
      <c r="F2324" s="7" cm="1">
        <f t="array" ref="F2324">SUMPRODUCT(("SUP_MNRBIO"=[1]OUT_SyntheticFuels!$C$4:$C$1000)*1,("var_ncap"=[1]OUT_SyntheticFuels!$B$4:$B$1000)*1,[1]OUT_SyntheticFuels!E$4:E$1000)</f>
        <v>5.3972686512701901E-2</v>
      </c>
      <c r="G2324" s="7" cm="1">
        <f t="array" ref="G2324">SUMPRODUCT(("SUP_MNRBIO"=[1]OUT_SyntheticFuels!$C$4:$C$1000)*1,("var_ncap"=[1]OUT_SyntheticFuels!$B$4:$B$1000)*1,[1]OUT_SyntheticFuels!F$4:F$1000)</f>
        <v>0.108436481533581</v>
      </c>
      <c r="H2324" s="7" cm="1">
        <f t="array" ref="H2324">SUMPRODUCT(("SUP_MNRBIO"=[1]OUT_SyntheticFuels!$C$4:$C$1000)*1,("var_ncap"=[1]OUT_SyntheticFuels!$B$4:$B$1000)*1,[1]OUT_SyntheticFuels!G$4:G$1000)</f>
        <v>4.8086168448192398E-6</v>
      </c>
      <c r="I2324" s="7" cm="1">
        <f t="array" ref="I2324">SUMPRODUCT(("SUP_MNRBIO"=[1]OUT_SyntheticFuels!$C$4:$C$1000)*1,("var_ncap"=[1]OUT_SyntheticFuels!$B$4:$B$1000)*1,[1]OUT_SyntheticFuels!H$4:H$1000)</f>
        <v>4.9909063647793497E-6</v>
      </c>
      <c r="J2324" s="7" cm="1">
        <f t="array" ref="J2324">SUMPRODUCT(("SUP_MNRBIO"=[1]OUT_SyntheticFuels!$C$4:$C$1000)*1,("var_ncap"=[1]OUT_SyntheticFuels!$B$4:$B$1000)*1,[1]OUT_SyntheticFuels!I$4:I$1000)</f>
        <v>0.14969422680963801</v>
      </c>
      <c r="K2324" s="7" cm="1">
        <f t="array" ref="K2324">SUMPRODUCT(("SUP_MNRBIO"=[1]OUT_SyntheticFuels!$C$4:$C$1000)*1,("var_ncap"=[1]OUT_SyntheticFuels!$B$4:$B$1000)*1,[1]OUT_SyntheticFuels!J$4:J$1000)</f>
        <v>9.4138885906514799E-2</v>
      </c>
    </row>
    <row r="2325" spans="2:11" x14ac:dyDescent="0.35">
      <c r="B2325" s="5" t="str">
        <f t="shared" si="1355"/>
        <v>SPS2</v>
      </c>
      <c r="C2325" s="5" t="str">
        <f t="shared" si="1356"/>
        <v>CH</v>
      </c>
      <c r="D2325" t="s">
        <v>2467</v>
      </c>
      <c r="E2325" t="s">
        <v>2157</v>
      </c>
      <c r="F2325" s="7" cm="1">
        <f t="array" ref="F2325">SUMPRODUCT(("SUP_WSTBIO"=[1]OUT_SyntheticFuels!$C$4:$C$1000)*1,("var_ncap"=[1]OUT_SyntheticFuels!$B$4:$B$1000)*1,[1]OUT_SyntheticFuels!E$4:E$1000)</f>
        <v>4.1054472033830898E-3</v>
      </c>
      <c r="G2325" s="7" cm="1">
        <f t="array" ref="G2325">SUMPRODUCT(("SUP_WSTBIO"=[1]OUT_SyntheticFuels!$C$4:$C$1000)*1,("var_ncap"=[1]OUT_SyntheticFuels!$B$4:$B$1000)*1,[1]OUT_SyntheticFuels!F$4:F$1000)</f>
        <v>3.7677770770316202E-3</v>
      </c>
      <c r="H2325" s="7" cm="1">
        <f t="array" ref="H2325">SUMPRODUCT(("SUP_WSTBIO"=[1]OUT_SyntheticFuels!$C$4:$C$1000)*1,("var_ncap"=[1]OUT_SyntheticFuels!$B$4:$B$1000)*1,[1]OUT_SyntheticFuels!G$4:G$1000)</f>
        <v>1.7510280148706099E-6</v>
      </c>
      <c r="I2325" s="7" cm="1">
        <f t="array" ref="I2325">SUMPRODUCT(("SUP_WSTBIO"=[1]OUT_SyntheticFuels!$C$4:$C$1000)*1,("var_ncap"=[1]OUT_SyntheticFuels!$B$4:$B$1000)*1,[1]OUT_SyntheticFuels!H$4:H$1000)</f>
        <v>0.11861532293062201</v>
      </c>
      <c r="J2325" s="7" cm="1">
        <f t="array" ref="J2325">SUMPRODUCT(("SUP_WSTBIO"=[1]OUT_SyntheticFuels!$C$4:$C$1000)*1,("var_ncap"=[1]OUT_SyntheticFuels!$B$4:$B$1000)*1,[1]OUT_SyntheticFuels!I$4:I$1000)</f>
        <v>4.7343977901479803E-2</v>
      </c>
      <c r="K2325" s="7" cm="1">
        <f t="array" ref="K2325">SUMPRODUCT(("SUP_WSTBIO"=[1]OUT_SyntheticFuels!$C$4:$C$1000)*1,("var_ncap"=[1]OUT_SyntheticFuels!$B$4:$B$1000)*1,[1]OUT_SyntheticFuels!J$4:J$1000)</f>
        <v>0.17555576138390599</v>
      </c>
    </row>
    <row r="2326" spans="2:11" x14ac:dyDescent="0.35">
      <c r="B2326" s="5" t="str">
        <f t="shared" si="1355"/>
        <v>SPS2</v>
      </c>
      <c r="C2326" s="5" t="str">
        <f t="shared" si="1356"/>
        <v>CH</v>
      </c>
      <c r="D2326" t="s">
        <v>2468</v>
      </c>
      <c r="E2326" t="s">
        <v>2157</v>
      </c>
      <c r="F2326" s="7" cm="1">
        <f t="array" ref="F2326">SUMPRODUCT(("SUP_WSTBIOCCS"=[1]OUT_SyntheticFuels!$C$4:$C$1000)*1,("var_ncap"=[1]OUT_SyntheticFuels!$B$4:$B$1000)*1,[1]OUT_SyntheticFuels!E$4:E$1000)</f>
        <v>0</v>
      </c>
      <c r="G2326" s="7" cm="1">
        <f t="array" ref="G2326">SUMPRODUCT(("SUP_WSTBIOCCS"=[1]OUT_SyntheticFuels!$C$4:$C$1000)*1,("var_ncap"=[1]OUT_SyntheticFuels!$B$4:$B$1000)*1,[1]OUT_SyntheticFuels!F$4:F$1000)</f>
        <v>0</v>
      </c>
      <c r="H2326" s="7" cm="1">
        <f t="array" ref="H2326">SUMPRODUCT(("SUP_WSTBIOCCS"=[1]OUT_SyntheticFuels!$C$4:$C$1000)*1,("var_ncap"=[1]OUT_SyntheticFuels!$B$4:$B$1000)*1,[1]OUT_SyntheticFuels!G$4:G$1000)</f>
        <v>0</v>
      </c>
      <c r="I2326" s="7" cm="1">
        <f t="array" ref="I2326">SUMPRODUCT(("SUP_WSTBIOCCS"=[1]OUT_SyntheticFuels!$C$4:$C$1000)*1,("var_ncap"=[1]OUT_SyntheticFuels!$B$4:$B$1000)*1,[1]OUT_SyntheticFuels!H$4:H$1000)</f>
        <v>0</v>
      </c>
      <c r="J2326" s="7" cm="1">
        <f t="array" ref="J2326">SUMPRODUCT(("SUP_WSTBIOCCS"=[1]OUT_SyntheticFuels!$C$4:$C$1000)*1,("var_ncap"=[1]OUT_SyntheticFuels!$B$4:$B$1000)*1,[1]OUT_SyntheticFuels!I$4:I$1000)</f>
        <v>0</v>
      </c>
      <c r="K2326" s="7" cm="1">
        <f t="array" ref="K2326">SUMPRODUCT(("SUP_WSTBIOCCS"=[1]OUT_SyntheticFuels!$C$4:$C$1000)*1,("var_ncap"=[1]OUT_SyntheticFuels!$B$4:$B$1000)*1,[1]OUT_SyntheticFuels!J$4:J$1000)</f>
        <v>0</v>
      </c>
    </row>
    <row r="2327" spans="2:11" x14ac:dyDescent="0.35">
      <c r="B2327" s="5" t="str">
        <f t="shared" si="1355"/>
        <v>SPS2</v>
      </c>
      <c r="C2327" s="5" t="str">
        <f t="shared" si="1356"/>
        <v>CH</v>
      </c>
      <c r="D2327" t="s">
        <v>2469</v>
      </c>
      <c r="E2327" t="s">
        <v>2157</v>
      </c>
      <c r="F2327" s="7" cm="1">
        <f t="array" ref="F2327">SUMPRODUCT(("SUP_WSTHTGBIO"=[1]OUT_SyntheticFuels!$C$4:$C$1000)*1,("var_ncap"=[1]OUT_SyntheticFuels!$B$4:$B$1000)*1,[1]OUT_SyntheticFuels!E$4:E$1000)</f>
        <v>0</v>
      </c>
      <c r="G2327" s="7" cm="1">
        <f t="array" ref="G2327">SUMPRODUCT(("SUP_WSTHTGBIO"=[1]OUT_SyntheticFuels!$C$4:$C$1000)*1,("var_ncap"=[1]OUT_SyntheticFuels!$B$4:$B$1000)*1,[1]OUT_SyntheticFuels!F$4:F$1000)</f>
        <v>0</v>
      </c>
      <c r="H2327" s="7" cm="1">
        <f t="array" ref="H2327">SUMPRODUCT(("SUP_WSTHTGBIO"=[1]OUT_SyntheticFuels!$C$4:$C$1000)*1,("var_ncap"=[1]OUT_SyntheticFuels!$B$4:$B$1000)*1,[1]OUT_SyntheticFuels!G$4:G$1000)</f>
        <v>0</v>
      </c>
      <c r="I2327" s="7" cm="1">
        <f t="array" ref="I2327">SUMPRODUCT(("SUP_WSTHTGBIO"=[1]OUT_SyntheticFuels!$C$4:$C$1000)*1,("var_ncap"=[1]OUT_SyntheticFuels!$B$4:$B$1000)*1,[1]OUT_SyntheticFuels!H$4:H$1000)</f>
        <v>0</v>
      </c>
      <c r="J2327" s="7" cm="1">
        <f t="array" ref="J2327">SUMPRODUCT(("SUP_WSTHTGBIO"=[1]OUT_SyntheticFuels!$C$4:$C$1000)*1,("var_ncap"=[1]OUT_SyntheticFuels!$B$4:$B$1000)*1,[1]OUT_SyntheticFuels!I$4:I$1000)</f>
        <v>3.7157244810328799E-3</v>
      </c>
      <c r="K2327" s="7" cm="1">
        <f t="array" ref="K2327">SUMPRODUCT(("SUP_WSTHTGBIO"=[1]OUT_SyntheticFuels!$C$4:$C$1000)*1,("var_ncap"=[1]OUT_SyntheticFuels!$B$4:$B$1000)*1,[1]OUT_SyntheticFuels!J$4:J$1000)</f>
        <v>6.4635744954846095E-5</v>
      </c>
    </row>
    <row r="2328" spans="2:11" x14ac:dyDescent="0.35">
      <c r="B2328" s="5" t="str">
        <f t="shared" si="1355"/>
        <v>SPS2</v>
      </c>
      <c r="C2328" s="5" t="str">
        <f t="shared" si="1356"/>
        <v>CH</v>
      </c>
      <c r="D2328" t="s">
        <v>2470</v>
      </c>
      <c r="E2328" t="s">
        <v>2157</v>
      </c>
      <c r="F2328" s="7" cm="1">
        <f t="array" ref="F2328">SUMPRODUCT(("SUP_WSTHTGBIOCCS"=[1]OUT_SyntheticFuels!$C$4:$C$1000)*1,("var_ncap"=[1]OUT_SyntheticFuels!$B$4:$B$1000)*1,[1]OUT_SyntheticFuels!E$4:E$1000)</f>
        <v>0</v>
      </c>
      <c r="G2328" s="7" cm="1">
        <f t="array" ref="G2328">SUMPRODUCT(("SUP_WSTHTGBIOCCS"=[1]OUT_SyntheticFuels!$C$4:$C$1000)*1,("var_ncap"=[1]OUT_SyntheticFuels!$B$4:$B$1000)*1,[1]OUT_SyntheticFuels!F$4:F$1000)</f>
        <v>0</v>
      </c>
      <c r="H2328" s="7" cm="1">
        <f t="array" ref="H2328">SUMPRODUCT(("SUP_WSTHTGBIOCCS"=[1]OUT_SyntheticFuels!$C$4:$C$1000)*1,("var_ncap"=[1]OUT_SyntheticFuels!$B$4:$B$1000)*1,[1]OUT_SyntheticFuels!G$4:G$1000)</f>
        <v>0</v>
      </c>
      <c r="I2328" s="7" cm="1">
        <f t="array" ref="I2328">SUMPRODUCT(("SUP_WSTHTGBIOCCS"=[1]OUT_SyntheticFuels!$C$4:$C$1000)*1,("var_ncap"=[1]OUT_SyntheticFuels!$B$4:$B$1000)*1,[1]OUT_SyntheticFuels!H$4:H$1000)</f>
        <v>0</v>
      </c>
      <c r="J2328" s="7" cm="1">
        <f t="array" ref="J2328">SUMPRODUCT(("SUP_WSTHTGBIOCCS"=[1]OUT_SyntheticFuels!$C$4:$C$1000)*1,("var_ncap"=[1]OUT_SyntheticFuels!$B$4:$B$1000)*1,[1]OUT_SyntheticFuels!I$4:I$1000)</f>
        <v>2.9532689347206699E-5</v>
      </c>
      <c r="K2328" s="7" cm="1">
        <f t="array" ref="K2328">SUMPRODUCT(("SUP_WSTHTGBIOCCS"=[1]OUT_SyntheticFuels!$C$4:$C$1000)*1,("var_ncap"=[1]OUT_SyntheticFuels!$B$4:$B$1000)*1,[1]OUT_SyntheticFuels!J$4:J$1000)</f>
        <v>5.01628419310245E-4</v>
      </c>
    </row>
    <row r="2329" spans="2:11" x14ac:dyDescent="0.35">
      <c r="B2329" s="5" t="str">
        <f t="shared" si="1355"/>
        <v>SPS2</v>
      </c>
      <c r="C2329" s="5" t="str">
        <f t="shared" si="1356"/>
        <v>CH</v>
      </c>
      <c r="D2329" t="s">
        <v>2471</v>
      </c>
      <c r="E2329" t="s">
        <v>2157</v>
      </c>
      <c r="F2329" s="7" cm="1">
        <f t="array" ref="F2329">SUMPRODUCT(("SUP_WODBIO"=[1]OUT_SyntheticFuels!$C$4:$C$1000)*1,("var_ncap"=[1]OUT_SyntheticFuels!$B$4:$B$1000)*1,[1]OUT_SyntheticFuels!E$4:E$1000)</f>
        <v>1.7900586657051301E-6</v>
      </c>
      <c r="G2329" s="7" cm="1">
        <f t="array" ref="G2329">SUMPRODUCT(("SUP_WODBIO"=[1]OUT_SyntheticFuels!$C$4:$C$1000)*1,("var_ncap"=[1]OUT_SyntheticFuels!$B$4:$B$1000)*1,[1]OUT_SyntheticFuels!F$4:F$1000)</f>
        <v>9.9307416100386694E-5</v>
      </c>
      <c r="H2329" s="7" cm="1">
        <f t="array" ref="H2329">SUMPRODUCT(("SUP_WODBIO"=[1]OUT_SyntheticFuels!$C$4:$C$1000)*1,("var_ncap"=[1]OUT_SyntheticFuels!$B$4:$B$1000)*1,[1]OUT_SyntheticFuels!G$4:G$1000)</f>
        <v>5.05431960478138E-5</v>
      </c>
      <c r="I2329" s="7" cm="1">
        <f t="array" ref="I2329">SUMPRODUCT(("SUP_WODBIO"=[1]OUT_SyntheticFuels!$C$4:$C$1000)*1,("var_ncap"=[1]OUT_SyntheticFuels!$B$4:$B$1000)*1,[1]OUT_SyntheticFuels!H$4:H$1000)</f>
        <v>2.04852829901648E-4</v>
      </c>
      <c r="J2329" s="7" cm="1">
        <f t="array" ref="J2329">SUMPRODUCT(("SUP_WODBIO"=[1]OUT_SyntheticFuels!$C$4:$C$1000)*1,("var_ncap"=[1]OUT_SyntheticFuels!$B$4:$B$1000)*1,[1]OUT_SyntheticFuels!I$4:I$1000)</f>
        <v>2.65512927190411E-6</v>
      </c>
      <c r="K2329" s="7" cm="1">
        <f t="array" ref="K2329">SUMPRODUCT(("SUP_WODBIO"=[1]OUT_SyntheticFuels!$C$4:$C$1000)*1,("var_ncap"=[1]OUT_SyntheticFuels!$B$4:$B$1000)*1,[1]OUT_SyntheticFuels!J$4:J$1000)</f>
        <v>4.3414501893650899E-7</v>
      </c>
    </row>
    <row r="2330" spans="2:11" x14ac:dyDescent="0.35">
      <c r="B2330" s="5" t="str">
        <f t="shared" si="1355"/>
        <v>SPS2</v>
      </c>
      <c r="C2330" s="5" t="str">
        <f t="shared" si="1356"/>
        <v>CH</v>
      </c>
      <c r="D2330" t="s">
        <v>2472</v>
      </c>
      <c r="E2330" t="s">
        <v>2157</v>
      </c>
      <c r="F2330" s="7" cm="1">
        <f t="array" ref="F2330">SUMPRODUCT(("SUP_WODBIOCCS"=[1]OUT_SyntheticFuels!$C$4:$C$1000)*1,("var_ncap"=[1]OUT_SyntheticFuels!$B$4:$B$1000)*1,[1]OUT_SyntheticFuels!E$4:E$1000)</f>
        <v>0</v>
      </c>
      <c r="G2330" s="7" cm="1">
        <f t="array" ref="G2330">SUMPRODUCT(("SUP_WODBIOCCS"=[1]OUT_SyntheticFuels!$C$4:$C$1000)*1,("var_ncap"=[1]OUT_SyntheticFuels!$B$4:$B$1000)*1,[1]OUT_SyntheticFuels!F$4:F$1000)</f>
        <v>0</v>
      </c>
      <c r="H2330" s="7" cm="1">
        <f t="array" ref="H2330">SUMPRODUCT(("SUP_WODBIOCCS"=[1]OUT_SyntheticFuels!$C$4:$C$1000)*1,("var_ncap"=[1]OUT_SyntheticFuels!$B$4:$B$1000)*1,[1]OUT_SyntheticFuels!G$4:G$1000)</f>
        <v>0</v>
      </c>
      <c r="I2330" s="7" cm="1">
        <f t="array" ref="I2330">SUMPRODUCT(("SUP_WODBIOCCS"=[1]OUT_SyntheticFuels!$C$4:$C$1000)*1,("var_ncap"=[1]OUT_SyntheticFuels!$B$4:$B$1000)*1,[1]OUT_SyntheticFuels!H$4:H$1000)</f>
        <v>0</v>
      </c>
      <c r="J2330" s="7" cm="1">
        <f t="array" ref="J2330">SUMPRODUCT(("SUP_WODBIOCCS"=[1]OUT_SyntheticFuels!$C$4:$C$1000)*1,("var_ncap"=[1]OUT_SyntheticFuels!$B$4:$B$1000)*1,[1]OUT_SyntheticFuels!I$4:I$1000)</f>
        <v>9.5062810263645803E-5</v>
      </c>
      <c r="K2330" s="7" cm="1">
        <f t="array" ref="K2330">SUMPRODUCT(("SUP_WODBIOCCS"=[1]OUT_SyntheticFuels!$C$4:$C$1000)*1,("var_ncap"=[1]OUT_SyntheticFuels!$B$4:$B$1000)*1,[1]OUT_SyntheticFuels!J$4:J$1000)</f>
        <v>6.1672764986255499E-2</v>
      </c>
    </row>
    <row r="2331" spans="2:11" x14ac:dyDescent="0.35">
      <c r="B2331" s="5" t="str">
        <f t="shared" si="1355"/>
        <v>SPS2</v>
      </c>
      <c r="C2331" s="5" t="str">
        <f t="shared" si="1356"/>
        <v>CH</v>
      </c>
      <c r="D2331" t="s">
        <v>2473</v>
      </c>
      <c r="E2331" t="s">
        <v>2157</v>
      </c>
      <c r="F2331" s="7" cm="1">
        <f t="array" ref="F2331">SUMPRODUCT(("SUP_BIONGA"=[1]OUT_SyntheticFuels!$C$4:$C$1000)*1,("var_ncap"=[1]OUT_SyntheticFuels!$B$4:$B$1000)*1,[1]OUT_SyntheticFuels!E$4:E$1000)</f>
        <v>1.42140605240709E-2</v>
      </c>
      <c r="G2331" s="7" cm="1">
        <f t="array" ref="G2331">SUMPRODUCT(("SUP_BIONGA"=[1]OUT_SyntheticFuels!$C$4:$C$1000)*1,("var_ncap"=[1]OUT_SyntheticFuels!$B$4:$B$1000)*1,[1]OUT_SyntheticFuels!F$4:F$1000)</f>
        <v>7.30523288622488E-2</v>
      </c>
      <c r="H2331" s="7" cm="1">
        <f t="array" ref="H2331">SUMPRODUCT(("SUP_BIONGA"=[1]OUT_SyntheticFuels!$C$4:$C$1000)*1,("var_ncap"=[1]OUT_SyntheticFuels!$B$4:$B$1000)*1,[1]OUT_SyntheticFuels!G$4:G$1000)</f>
        <v>2.9976699637955199E-6</v>
      </c>
      <c r="I2331" s="7" cm="1">
        <f t="array" ref="I2331">SUMPRODUCT(("SUP_BIONGA"=[1]OUT_SyntheticFuels!$C$4:$C$1000)*1,("var_ncap"=[1]OUT_SyntheticFuels!$B$4:$B$1000)*1,[1]OUT_SyntheticFuels!H$4:H$1000)</f>
        <v>5.4389935983750998E-2</v>
      </c>
      <c r="J2331" s="7" cm="1">
        <f t="array" ref="J2331">SUMPRODUCT(("SUP_BIONGA"=[1]OUT_SyntheticFuels!$C$4:$C$1000)*1,("var_ncap"=[1]OUT_SyntheticFuels!$B$4:$B$1000)*1,[1]OUT_SyntheticFuels!I$4:I$1000)</f>
        <v>9.5751602296053298E-2</v>
      </c>
      <c r="K2331" s="7" cm="1">
        <f t="array" ref="K2331">SUMPRODUCT(("SUP_BIONGA"=[1]OUT_SyntheticFuels!$C$4:$C$1000)*1,("var_ncap"=[1]OUT_SyntheticFuels!$B$4:$B$1000)*1,[1]OUT_SyntheticFuels!J$4:J$1000)</f>
        <v>0.138966099615417</v>
      </c>
    </row>
    <row r="2332" spans="2:11" x14ac:dyDescent="0.35">
      <c r="B2332" s="5" t="str">
        <f t="shared" si="1355"/>
        <v>SPS2</v>
      </c>
      <c r="C2332" s="5" t="str">
        <f t="shared" si="1356"/>
        <v>CH</v>
      </c>
      <c r="D2332" t="s">
        <v>2474</v>
      </c>
      <c r="E2332" t="s">
        <v>2157</v>
      </c>
      <c r="F2332" s="7" cm="1">
        <f t="array" ref="F2332">SUMPRODUCT(("CT_CWODPLT"=[1]OUT_SyntheticFuels!$C$4:$C$1000)*1,("var_ncap"=[1]OUT_SyntheticFuels!$B$4:$B$1000)*1,[1]OUT_SyntheticFuels!E$4:E$1000)</f>
        <v>0.15480811494432101</v>
      </c>
      <c r="G2332" s="7" cm="1">
        <f t="array" ref="G2332">SUMPRODUCT(("CT_CWODPLT"=[1]OUT_SyntheticFuels!$C$4:$C$1000)*1,("var_ncap"=[1]OUT_SyntheticFuels!$B$4:$B$1000)*1,[1]OUT_SyntheticFuels!F$4:F$1000)</f>
        <v>5.2643373632123701E-2</v>
      </c>
      <c r="H2332" s="7" cm="1">
        <f t="array" ref="H2332">SUMPRODUCT(("CT_CWODPLT"=[1]OUT_SyntheticFuels!$C$4:$C$1000)*1,("var_ncap"=[1]OUT_SyntheticFuels!$B$4:$B$1000)*1,[1]OUT_SyntheticFuels!G$4:G$1000)</f>
        <v>3.1321578949202498E-6</v>
      </c>
      <c r="I2332" s="7" cm="1">
        <f t="array" ref="I2332">SUMPRODUCT(("CT_CWODPLT"=[1]OUT_SyntheticFuels!$C$4:$C$1000)*1,("var_ncap"=[1]OUT_SyntheticFuels!$B$4:$B$1000)*1,[1]OUT_SyntheticFuels!H$4:H$1000)</f>
        <v>3.7178969771385301E-6</v>
      </c>
      <c r="J2332" s="7" cm="1">
        <f t="array" ref="J2332">SUMPRODUCT(("CT_CWODPLT"=[1]OUT_SyntheticFuels!$C$4:$C$1000)*1,("var_ncap"=[1]OUT_SyntheticFuels!$B$4:$B$1000)*1,[1]OUT_SyntheticFuels!I$4:I$1000)</f>
        <v>8.8010316498213198E-2</v>
      </c>
      <c r="K2332" s="7" cm="1">
        <f t="array" ref="K2332">SUMPRODUCT(("CT_CWODPLT"=[1]OUT_SyntheticFuels!$C$4:$C$1000)*1,("var_ncap"=[1]OUT_SyntheticFuels!$B$4:$B$1000)*1,[1]OUT_SyntheticFuels!J$4:J$1000)</f>
        <v>4.05834227820287E-2</v>
      </c>
    </row>
    <row r="2333" spans="2:11" x14ac:dyDescent="0.35">
      <c r="B2333" s="5" t="str">
        <f t="shared" si="1355"/>
        <v>SPS2</v>
      </c>
      <c r="C2333" s="5" t="str">
        <f t="shared" si="1356"/>
        <v>CH</v>
      </c>
      <c r="D2333" t="s">
        <v>2475</v>
      </c>
      <c r="E2333" t="s">
        <v>2157</v>
      </c>
      <c r="F2333" s="7" cm="1">
        <f t="array" ref="F2333">SUMPRODUCT(("SUP_H2NGA"=[1]OUT_SyntheticFuels!$C$4:$C$1000)*1,("var_ncap"=[1]OUT_SyntheticFuels!$B$4:$B$1000)*1,[1]OUT_SyntheticFuels!E$4:E$1000)</f>
        <v>0</v>
      </c>
      <c r="G2333" s="7" cm="1">
        <f t="array" ref="G2333">SUMPRODUCT(("SUP_H2NGA"=[1]OUT_SyntheticFuels!$C$4:$C$1000)*1,("var_ncap"=[1]OUT_SyntheticFuels!$B$4:$B$1000)*1,[1]OUT_SyntheticFuels!F$4:F$1000)</f>
        <v>0</v>
      </c>
      <c r="H2333" s="7" cm="1">
        <f t="array" ref="H2333">SUMPRODUCT(("SUP_H2NGA"=[1]OUT_SyntheticFuels!$C$4:$C$1000)*1,("var_ncap"=[1]OUT_SyntheticFuels!$B$4:$B$1000)*1,[1]OUT_SyntheticFuels!G$4:G$1000)</f>
        <v>0</v>
      </c>
      <c r="I2333" s="7" cm="1">
        <f t="array" ref="I2333">SUMPRODUCT(("SUP_H2NGA"=[1]OUT_SyntheticFuels!$C$4:$C$1000)*1,("var_ncap"=[1]OUT_SyntheticFuels!$B$4:$B$1000)*1,[1]OUT_SyntheticFuels!H$4:H$1000)</f>
        <v>1.2607147479020099E-6</v>
      </c>
      <c r="J2333" s="7" cm="1">
        <f t="array" ref="J2333">SUMPRODUCT(("SUP_H2NGA"=[1]OUT_SyntheticFuels!$C$4:$C$1000)*1,("var_ncap"=[1]OUT_SyntheticFuels!$B$4:$B$1000)*1,[1]OUT_SyntheticFuels!I$4:I$1000)</f>
        <v>1.3070544398578201</v>
      </c>
      <c r="K2333" s="7" cm="1">
        <f t="array" ref="K2333">SUMPRODUCT(("SUP_H2NGA"=[1]OUT_SyntheticFuels!$C$4:$C$1000)*1,("var_ncap"=[1]OUT_SyntheticFuels!$B$4:$B$1000)*1,[1]OUT_SyntheticFuels!J$4:J$1000)</f>
        <v>0.24573237432231801</v>
      </c>
    </row>
    <row r="2334" spans="2:11" x14ac:dyDescent="0.35">
      <c r="B2334" s="5" t="str">
        <f t="shared" si="1355"/>
        <v>SPS2</v>
      </c>
      <c r="C2334" s="5" t="str">
        <f t="shared" si="1356"/>
        <v>CH</v>
      </c>
      <c r="D2334" t="s">
        <v>2476</v>
      </c>
      <c r="E2334" t="s">
        <v>2157</v>
      </c>
      <c r="F2334" s="7" cm="1">
        <f t="array" ref="F2334">SUMPRODUCT(("SUP_H2DSL"=[1]OUT_SyntheticFuels!$C$4:$C$1000)*1,("var_ncap"=[1]OUT_SyntheticFuels!$B$4:$B$1000)*1,[1]OUT_SyntheticFuels!E$4:E$1000)</f>
        <v>0</v>
      </c>
      <c r="G2334" s="7" cm="1">
        <f t="array" ref="G2334">SUMPRODUCT(("SUP_H2DSL"=[1]OUT_SyntheticFuels!$C$4:$C$1000)*1,("var_ncap"=[1]OUT_SyntheticFuels!$B$4:$B$1000)*1,[1]OUT_SyntheticFuels!F$4:F$1000)</f>
        <v>0</v>
      </c>
      <c r="H2334" s="7" cm="1">
        <f t="array" ref="H2334">SUMPRODUCT(("SUP_H2DSL"=[1]OUT_SyntheticFuels!$C$4:$C$1000)*1,("var_ncap"=[1]OUT_SyntheticFuels!$B$4:$B$1000)*1,[1]OUT_SyntheticFuels!G$4:G$1000)</f>
        <v>0</v>
      </c>
      <c r="I2334" s="7" cm="1">
        <f t="array" ref="I2334">SUMPRODUCT(("SUP_H2DSL"=[1]OUT_SyntheticFuels!$C$4:$C$1000)*1,("var_ncap"=[1]OUT_SyntheticFuels!$B$4:$B$1000)*1,[1]OUT_SyntheticFuels!H$4:H$1000)</f>
        <v>2.6591990864770102E-6</v>
      </c>
      <c r="J2334" s="7" cm="1">
        <f t="array" ref="J2334">SUMPRODUCT(("SUP_H2DSL"=[1]OUT_SyntheticFuels!$C$4:$C$1000)*1,("var_ncap"=[1]OUT_SyntheticFuels!$B$4:$B$1000)*1,[1]OUT_SyntheticFuels!I$4:I$1000)</f>
        <v>3.8284177514701198E-3</v>
      </c>
      <c r="K2334" s="7" cm="1">
        <f t="array" ref="K2334">SUMPRODUCT(("SUP_H2DSL"=[1]OUT_SyntheticFuels!$C$4:$C$1000)*1,("var_ncap"=[1]OUT_SyntheticFuels!$B$4:$B$1000)*1,[1]OUT_SyntheticFuels!J$4:J$1000)</f>
        <v>1.4632532458530401</v>
      </c>
    </row>
    <row r="2335" spans="2:11" x14ac:dyDescent="0.35">
      <c r="B2335" s="5" t="str">
        <f t="shared" si="1355"/>
        <v>SPS2</v>
      </c>
      <c r="C2335" s="5" t="str">
        <f t="shared" si="1356"/>
        <v>CH</v>
      </c>
      <c r="D2335" t="s">
        <v>2477</v>
      </c>
      <c r="E2335" t="s">
        <v>2157</v>
      </c>
      <c r="F2335" s="7" cm="1">
        <f t="array" ref="F2335">SUMPRODUCT(("SUP_H2GSL"=[1]OUT_SyntheticFuels!$C$4:$C$1000)*1,("var_ncap"=[1]OUT_SyntheticFuels!$B$4:$B$1000)*1,[1]OUT_SyntheticFuels!E$4:E$1000)</f>
        <v>0</v>
      </c>
      <c r="G2335" s="7" cm="1">
        <f t="array" ref="G2335">SUMPRODUCT(("SUP_H2GSL"=[1]OUT_SyntheticFuels!$C$4:$C$1000)*1,("var_ncap"=[1]OUT_SyntheticFuels!$B$4:$B$1000)*1,[1]OUT_SyntheticFuels!F$4:F$1000)</f>
        <v>0</v>
      </c>
      <c r="H2335" s="7" cm="1">
        <f t="array" ref="H2335">SUMPRODUCT(("SUP_H2GSL"=[1]OUT_SyntheticFuels!$C$4:$C$1000)*1,("var_ncap"=[1]OUT_SyntheticFuels!$B$4:$B$1000)*1,[1]OUT_SyntheticFuels!G$4:G$1000)</f>
        <v>0</v>
      </c>
      <c r="I2335" s="7" cm="1">
        <f t="array" ref="I2335">SUMPRODUCT(("SUP_H2GSL"=[1]OUT_SyntheticFuels!$C$4:$C$1000)*1,("var_ncap"=[1]OUT_SyntheticFuels!$B$4:$B$1000)*1,[1]OUT_SyntheticFuels!H$4:H$1000)</f>
        <v>4.4703328109487002E-6</v>
      </c>
      <c r="J2335" s="7" cm="1">
        <f t="array" ref="J2335">SUMPRODUCT(("SUP_H2GSL"=[1]OUT_SyntheticFuels!$C$4:$C$1000)*1,("var_ncap"=[1]OUT_SyntheticFuels!$B$4:$B$1000)*1,[1]OUT_SyntheticFuels!I$4:I$1000)</f>
        <v>6.8037790344457894E-2</v>
      </c>
      <c r="K2335" s="7" cm="1">
        <f t="array" ref="K2335">SUMPRODUCT(("SUP_H2GSL"=[1]OUT_SyntheticFuels!$C$4:$C$1000)*1,("var_ncap"=[1]OUT_SyntheticFuels!$B$4:$B$1000)*1,[1]OUT_SyntheticFuels!J$4:J$1000)</f>
        <v>2.1977931811446602E-6</v>
      </c>
    </row>
  </sheetData>
  <sortState xmlns:xlrd2="http://schemas.microsoft.com/office/spreadsheetml/2017/richdata2" ref="D1572:D1574">
    <sortCondition ref="D1572:D1574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1720</v>
      </c>
      <c r="C3" s="3">
        <f>SUM(C4:C7)</f>
        <v>717.92514296939498</v>
      </c>
      <c r="D3" s="3">
        <f t="shared" ref="D3:H3" si="0">SUM(D4:D7)</f>
        <v>703.77662914536563</v>
      </c>
      <c r="E3" s="3">
        <f t="shared" si="0"/>
        <v>686.47551304787567</v>
      </c>
      <c r="F3" s="3">
        <f t="shared" si="0"/>
        <v>605.1475026140746</v>
      </c>
      <c r="G3" s="3">
        <f t="shared" si="0"/>
        <v>525.81738951664852</v>
      </c>
      <c r="H3" s="3">
        <f t="shared" si="0"/>
        <v>491.19853105191464</v>
      </c>
    </row>
    <row r="4" spans="2:8" x14ac:dyDescent="0.35">
      <c r="B4" s="25" t="s">
        <v>1728</v>
      </c>
      <c r="C4" s="1">
        <f>'SPS2'!F761</f>
        <v>142.21829718138034</v>
      </c>
      <c r="D4" s="1">
        <f>'SPS2'!G761</f>
        <v>141.18715560714469</v>
      </c>
      <c r="E4" s="1">
        <f>'SPS2'!H761</f>
        <v>142.48673319023285</v>
      </c>
      <c r="F4" s="1">
        <f>'SPS2'!I761</f>
        <v>142.18005831000923</v>
      </c>
      <c r="G4" s="1">
        <f>'SPS2'!J761</f>
        <v>134.86590382106047</v>
      </c>
      <c r="H4" s="1">
        <f>'SPS2'!K761</f>
        <v>136.64847945131041</v>
      </c>
    </row>
    <row r="5" spans="2:8" x14ac:dyDescent="0.35">
      <c r="B5" s="25" t="s">
        <v>1729</v>
      </c>
      <c r="C5" s="1">
        <f>'SPS2'!F880</f>
        <v>140.10140986175077</v>
      </c>
      <c r="D5" s="1">
        <f>'SPS2'!G880</f>
        <v>136.78087466449927</v>
      </c>
      <c r="E5" s="1">
        <f>'SPS2'!H880</f>
        <v>132.8197823041873</v>
      </c>
      <c r="F5" s="1">
        <f>'SPS2'!I880</f>
        <v>121.51967671841112</v>
      </c>
      <c r="G5" s="1">
        <f>'SPS2'!J880</f>
        <v>108.6316941362608</v>
      </c>
      <c r="H5" s="1">
        <f>'SPS2'!K880</f>
        <v>95.251824909349423</v>
      </c>
    </row>
    <row r="6" spans="2:8" x14ac:dyDescent="0.35">
      <c r="B6" s="25" t="s">
        <v>1730</v>
      </c>
      <c r="C6" s="1">
        <f>'SPS2'!F970</f>
        <v>219.86600807811632</v>
      </c>
      <c r="D6" s="1">
        <f>'SPS2'!G970</f>
        <v>219.55138304349126</v>
      </c>
      <c r="E6" s="1">
        <f>'SPS2'!H970</f>
        <v>219.77457015999119</v>
      </c>
      <c r="F6" s="1">
        <f>'SPS2'!I970</f>
        <v>200.5378190744637</v>
      </c>
      <c r="G6" s="1">
        <f>'SPS2'!J970</f>
        <v>182.10310023672594</v>
      </c>
      <c r="H6" s="1">
        <f>'SPS2'!K970</f>
        <v>164.52147679284653</v>
      </c>
    </row>
    <row r="7" spans="2:8" x14ac:dyDescent="0.35">
      <c r="B7" s="25" t="s">
        <v>1731</v>
      </c>
      <c r="C7" s="1">
        <f>'SPS2'!F1134+'SPS2'!F1313+'SPS2'!F1397+'SPS2'!F1481+'SPS2'!F1488+'SPS2'!F1495+'SPS2'!F1544+'SPS2'!F1591+'SPS2'!F1638</f>
        <v>215.73942784814761</v>
      </c>
      <c r="D7" s="1">
        <f>'SPS2'!G1134+'SPS2'!G1313+'SPS2'!G1397+'SPS2'!G1481+'SPS2'!G1488+'SPS2'!G1495+'SPS2'!G1544+'SPS2'!G1591+'SPS2'!G1638</f>
        <v>206.25721583023034</v>
      </c>
      <c r="E7" s="1">
        <f>'SPS2'!H1134+'SPS2'!H1313+'SPS2'!H1397+'SPS2'!H1481+'SPS2'!H1488+'SPS2'!H1495+'SPS2'!H1544+'SPS2'!H1591+'SPS2'!H1638</f>
        <v>191.3944273934643</v>
      </c>
      <c r="F7" s="1">
        <f>'SPS2'!I1134+'SPS2'!I1313+'SPS2'!I1397+'SPS2'!I1481+'SPS2'!I1488+'SPS2'!I1495+'SPS2'!I1544+'SPS2'!I1591+'SPS2'!I1638</f>
        <v>140.90994851119049</v>
      </c>
      <c r="G7" s="1">
        <f>'SPS2'!J1134+'SPS2'!J1313+'SPS2'!J1397+'SPS2'!J1481+'SPS2'!J1488+'SPS2'!J1495+'SPS2'!J1544+'SPS2'!J1591+'SPS2'!J1638</f>
        <v>100.21669132260131</v>
      </c>
      <c r="H7" s="1">
        <f>'SPS2'!K1134+'SPS2'!K1313+'SPS2'!K1397+'SPS2'!K1481+'SPS2'!K1488+'SPS2'!K1495+'SPS2'!K1544+'SPS2'!K1591+'SPS2'!K1638</f>
        <v>94.776749898408326</v>
      </c>
    </row>
    <row r="8" spans="2:8" x14ac:dyDescent="0.35">
      <c r="B8" s="2" t="s">
        <v>1736</v>
      </c>
      <c r="C8" s="3">
        <f>SUM(C9:C12)</f>
        <v>513.2907682710586</v>
      </c>
      <c r="D8" s="3">
        <f t="shared" ref="D8:H8" si="1">SUM(D9:D12)</f>
        <v>502.29266904644231</v>
      </c>
      <c r="E8" s="3">
        <f t="shared" si="1"/>
        <v>493.82684707486197</v>
      </c>
      <c r="F8" s="3">
        <f t="shared" si="1"/>
        <v>580.69418499813935</v>
      </c>
      <c r="G8" s="3">
        <f t="shared" si="1"/>
        <v>565.71876432096292</v>
      </c>
      <c r="H8" s="3">
        <f t="shared" si="1"/>
        <v>602.12255236075703</v>
      </c>
    </row>
    <row r="9" spans="2:8" x14ac:dyDescent="0.35">
      <c r="B9" s="25" t="s">
        <v>1733</v>
      </c>
      <c r="C9" s="1">
        <f>'SPS2'!F289+'SPS2'!F407</f>
        <v>493.95423696881267</v>
      </c>
      <c r="D9" s="1">
        <f>'SPS2'!G289+'SPS2'!G407</f>
        <v>475.32653983421676</v>
      </c>
      <c r="E9" s="1">
        <f>'SPS2'!H289+'SPS2'!H407</f>
        <v>462.70051831152585</v>
      </c>
      <c r="F9" s="1">
        <f>'SPS2'!I289+'SPS2'!I407</f>
        <v>547.19561734394688</v>
      </c>
      <c r="G9" s="1">
        <f>'SPS2'!J289+'SPS2'!J407</f>
        <v>482.66735543447726</v>
      </c>
      <c r="H9" s="1">
        <f>'SPS2'!K289+'SPS2'!K407</f>
        <v>470.05780395826338</v>
      </c>
    </row>
    <row r="10" spans="2:8" x14ac:dyDescent="0.35">
      <c r="B10" s="25" t="s">
        <v>1734</v>
      </c>
      <c r="C10" s="1">
        <f>'SPS2'!F588+'SPS2'!F602+'SPS2'!F642</f>
        <v>19.330440787081358</v>
      </c>
      <c r="D10" s="1">
        <f>'SPS2'!G588+'SPS2'!G602+'SPS2'!G642</f>
        <v>26.955968011769023</v>
      </c>
      <c r="E10" s="1">
        <f>'SPS2'!H588+'SPS2'!H602+'SPS2'!H642</f>
        <v>31.116013684216707</v>
      </c>
      <c r="F10" s="1">
        <f>'SPS2'!I588+'SPS2'!I602+'SPS2'!I642</f>
        <v>33.45644376184886</v>
      </c>
      <c r="G10" s="1">
        <f>'SPS2'!J588+'SPS2'!J602+'SPS2'!J642</f>
        <v>40.156650047361879</v>
      </c>
      <c r="H10" s="1">
        <f>'SPS2'!K588+'SPS2'!K602+'SPS2'!K642</f>
        <v>53.825252724657851</v>
      </c>
    </row>
    <row r="11" spans="2:8" x14ac:dyDescent="0.35">
      <c r="B11" s="25" t="s">
        <v>1732</v>
      </c>
      <c r="C11" s="1">
        <f>'SPS2'!F677</f>
        <v>6.090515164578549E-3</v>
      </c>
      <c r="D11" s="1">
        <f>'SPS2'!G677</f>
        <v>1.016120045656251E-2</v>
      </c>
      <c r="E11" s="1">
        <f>'SPS2'!H677</f>
        <v>1.0315079119426156E-2</v>
      </c>
      <c r="F11" s="1">
        <f>'SPS2'!I677</f>
        <v>4.21238923436296E-2</v>
      </c>
      <c r="G11" s="1">
        <f>'SPS2'!J677</f>
        <v>42.894638600904301</v>
      </c>
      <c r="H11" s="1">
        <f>'SPS2'!K677</f>
        <v>78.014343445757447</v>
      </c>
    </row>
    <row r="12" spans="2:8" x14ac:dyDescent="0.35">
      <c r="B12" s="25" t="s">
        <v>1735</v>
      </c>
      <c r="C12" s="1">
        <f>'SPS2'!F1702</f>
        <v>0</v>
      </c>
      <c r="D12" s="1">
        <f>'SPS2'!G1702</f>
        <v>0</v>
      </c>
      <c r="E12" s="1">
        <f>'SPS2'!H1702</f>
        <v>0</v>
      </c>
      <c r="F12" s="1">
        <f>'SPS2'!I1702</f>
        <v>0</v>
      </c>
      <c r="G12" s="1">
        <f>'SPS2'!J1702</f>
        <v>1.2023821957281477E-4</v>
      </c>
      <c r="H12" s="1">
        <f>'SPS2'!K1702</f>
        <v>0.22515223207820789</v>
      </c>
    </row>
    <row r="13" spans="2:8" x14ac:dyDescent="0.35">
      <c r="B13" s="2" t="s">
        <v>1737</v>
      </c>
      <c r="C13" s="3">
        <f>'SPS2'!F2+'SPS2'!F20-'SPS2'!F55</f>
        <v>965.15534918029073</v>
      </c>
      <c r="D13" s="3">
        <f>'SPS2'!G2+'SPS2'!G20-'SPS2'!G55</f>
        <v>964.07854152161906</v>
      </c>
      <c r="E13" s="3">
        <f>'SPS2'!H2+'SPS2'!H20-'SPS2'!H55</f>
        <v>908.36174112057313</v>
      </c>
      <c r="F13" s="3">
        <f>'SPS2'!I2+'SPS2'!I20-'SPS2'!I55</f>
        <v>886.08780860199397</v>
      </c>
      <c r="G13" s="3">
        <f>'SPS2'!J2+'SPS2'!J20-'SPS2'!J55</f>
        <v>717.24999148368784</v>
      </c>
      <c r="H13" s="3">
        <f>'SPS2'!K2+'SPS2'!K20-'SPS2'!K55</f>
        <v>677.41777490237632</v>
      </c>
    </row>
    <row r="14" spans="2:8" x14ac:dyDescent="0.35">
      <c r="B14" s="25" t="s">
        <v>1738</v>
      </c>
      <c r="C14" s="1">
        <f>'SPS2'!F2</f>
        <v>301.54827928186927</v>
      </c>
      <c r="D14" s="1">
        <f>'SPS2'!G2</f>
        <v>297.81097462257065</v>
      </c>
      <c r="E14" s="1">
        <f>'SPS2'!H2</f>
        <v>343.87239606248392</v>
      </c>
      <c r="F14" s="1">
        <f>'SPS2'!I2</f>
        <v>446.49206962057178</v>
      </c>
      <c r="G14" s="1">
        <f>'SPS2'!J2</f>
        <v>527.73722352078039</v>
      </c>
      <c r="H14" s="1">
        <f>'SPS2'!K2</f>
        <v>609.55557224833979</v>
      </c>
    </row>
    <row r="15" spans="2:8" x14ac:dyDescent="0.35">
      <c r="B15" s="25" t="s">
        <v>19</v>
      </c>
      <c r="C15" s="1">
        <f>'SPS2'!F20</f>
        <v>780.77714701368768</v>
      </c>
      <c r="D15" s="1">
        <f>'SPS2'!G20</f>
        <v>701.36929591530009</v>
      </c>
      <c r="E15" s="1">
        <f>'SPS2'!H20</f>
        <v>619.3791635809979</v>
      </c>
      <c r="F15" s="1">
        <f>'SPS2'!I20</f>
        <v>492.31757192824335</v>
      </c>
      <c r="G15" s="1">
        <f>'SPS2'!J20</f>
        <v>214.3686859397925</v>
      </c>
      <c r="H15" s="1">
        <f>'SPS2'!K20</f>
        <v>88.108548796864468</v>
      </c>
    </row>
    <row r="16" spans="2:8" x14ac:dyDescent="0.35">
      <c r="B16" s="25" t="s">
        <v>24</v>
      </c>
      <c r="C16" s="1">
        <f>'SPS2'!F55</f>
        <v>117.17007711526625</v>
      </c>
      <c r="D16" s="1">
        <f>'SPS2'!G55</f>
        <v>35.10172901625161</v>
      </c>
      <c r="E16" s="1">
        <f>'SPS2'!H55</f>
        <v>54.889818522908776</v>
      </c>
      <c r="F16" s="1">
        <f>'SPS2'!I55</f>
        <v>52.721832946821159</v>
      </c>
      <c r="G16" s="1">
        <f>'SPS2'!J55</f>
        <v>24.855917976885042</v>
      </c>
      <c r="H16" s="1">
        <f>'SPS2'!K55</f>
        <v>20.246346142827985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C8C03ABD37349B85E16C79D0BC86D" ma:contentTypeVersion="15" ma:contentTypeDescription="Create a new document." ma:contentTypeScope="" ma:versionID="e0c4c809cdd1f4d681ffe254c15b0eea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474854dce0ec48aabc248446e7a68ac4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E1688E18-40BC-448F-A752-698506428CAD}"/>
</file>

<file path=customXml/itemProps2.xml><?xml version="1.0" encoding="utf-8"?>
<ds:datastoreItem xmlns:ds="http://schemas.openxmlformats.org/officeDocument/2006/customXml" ds:itemID="{7E66DA88-54A2-45A3-9AA6-6D082BEC14D9}"/>
</file>

<file path=customXml/itemProps3.xml><?xml version="1.0" encoding="utf-8"?>
<ds:datastoreItem xmlns:ds="http://schemas.openxmlformats.org/officeDocument/2006/customXml" ds:itemID="{FDDABB61-8934-42A7-8E69-9CDA4BA8A1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2025-09-28T17:43:47Z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